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autoCompressPictures="0"/>
  <bookViews>
    <workbookView xWindow="7200" yWindow="630" windowWidth="18195" windowHeight="10815" activeTab="4"/>
  </bookViews>
  <sheets>
    <sheet name="Паспорт" sheetId="4" r:id="rId1"/>
    <sheet name="Приложение 1" sheetId="1" r:id="rId2"/>
    <sheet name="Приложение 2" sheetId="7" r:id="rId3"/>
    <sheet name="Приложение 3" sheetId="3" r:id="rId4"/>
    <sheet name="Приложение 4" sheetId="2" r:id="rId5"/>
  </sheets>
  <definedNames>
    <definedName name="OLE_LINK1" localSheetId="1">'Приложение 1'!$A$7</definedName>
    <definedName name="_xlnm.Print_Titles" localSheetId="1">'Приложение 1'!$7:$9</definedName>
    <definedName name="_xlnm.Print_Titles" localSheetId="2">'Приложение 2'!$6:$8</definedName>
    <definedName name="_xlnm.Print_Titles" localSheetId="3">'Приложение 3'!$6:$7</definedName>
    <definedName name="_xlnm.Print_Titles" localSheetId="4">'Приложение 4'!$6:$6</definedName>
    <definedName name="_xlnm.Print_Area" localSheetId="1">'Приложение 1'!$A$1:$M$213</definedName>
    <definedName name="_xlnm.Print_Area" localSheetId="2">'Приложение 2'!$A$1:$K$82</definedName>
    <definedName name="_xlnm.Print_Area" localSheetId="3">'Приложение 3'!$A$1:$E$166</definedName>
    <definedName name="_xlnm.Print_Area" localSheetId="4">'Приложение 4'!$A$1:$F$120</definedName>
  </definedNames>
  <calcPr calcId="125725"/>
</workbook>
</file>

<file path=xl/calcChain.xml><?xml version="1.0" encoding="utf-8"?>
<calcChain xmlns="http://schemas.openxmlformats.org/spreadsheetml/2006/main">
  <c r="I117" i="1"/>
  <c r="I114" s="1"/>
  <c r="I19"/>
  <c r="I13" s="1"/>
  <c r="K125"/>
  <c r="J125"/>
  <c r="I125"/>
  <c r="H125"/>
  <c r="G125"/>
  <c r="F125" s="1"/>
  <c r="H124"/>
  <c r="E99" i="2" s="1"/>
  <c r="G124" i="1"/>
  <c r="K123"/>
  <c r="J123"/>
  <c r="G123"/>
  <c r="K122"/>
  <c r="J122"/>
  <c r="E89" i="2" s="1"/>
  <c r="I122" i="1"/>
  <c r="H122"/>
  <c r="K121"/>
  <c r="J121"/>
  <c r="I121"/>
  <c r="H121"/>
  <c r="G121"/>
  <c r="E122"/>
  <c r="E123"/>
  <c r="E124"/>
  <c r="E125"/>
  <c r="E120" s="1"/>
  <c r="E121"/>
  <c r="E90" i="2"/>
  <c r="K36" i="1"/>
  <c r="K37"/>
  <c r="E24" i="2" s="1"/>
  <c r="K39" i="1"/>
  <c r="J36"/>
  <c r="J37"/>
  <c r="J39"/>
  <c r="F39" s="1"/>
  <c r="I36"/>
  <c r="E16" i="2"/>
  <c r="I37" i="1"/>
  <c r="E22" i="2"/>
  <c r="I39" i="1"/>
  <c r="H39"/>
  <c r="G36"/>
  <c r="G37"/>
  <c r="G34" s="1"/>
  <c r="G38"/>
  <c r="G39"/>
  <c r="H35"/>
  <c r="E33" i="2"/>
  <c r="I35" i="1"/>
  <c r="J35"/>
  <c r="E35" i="2" s="1"/>
  <c r="K35" i="1"/>
  <c r="E36" i="2" s="1"/>
  <c r="E26"/>
  <c r="G35" i="1"/>
  <c r="E36"/>
  <c r="E37"/>
  <c r="E208" s="1"/>
  <c r="E38"/>
  <c r="E39"/>
  <c r="E35"/>
  <c r="F69"/>
  <c r="K68"/>
  <c r="F68"/>
  <c r="F67"/>
  <c r="F66"/>
  <c r="F65"/>
  <c r="J64"/>
  <c r="I64"/>
  <c r="H64"/>
  <c r="F64" s="1"/>
  <c r="G64"/>
  <c r="E64"/>
  <c r="I153"/>
  <c r="I141"/>
  <c r="I138" s="1"/>
  <c r="I135"/>
  <c r="I129"/>
  <c r="I55" i="7"/>
  <c r="J55"/>
  <c r="J56" s="1"/>
  <c r="H55"/>
  <c r="H56" s="1"/>
  <c r="I50" i="1"/>
  <c r="I46" s="1"/>
  <c r="J138"/>
  <c r="K138"/>
  <c r="I132"/>
  <c r="J132"/>
  <c r="K132"/>
  <c r="J126"/>
  <c r="K126"/>
  <c r="I14" i="7"/>
  <c r="J14" s="1"/>
  <c r="H21"/>
  <c r="I21"/>
  <c r="J21" s="1"/>
  <c r="H20"/>
  <c r="I20" s="1"/>
  <c r="J20" s="1"/>
  <c r="H19"/>
  <c r="I19" s="1"/>
  <c r="H16"/>
  <c r="I16"/>
  <c r="J16" s="1"/>
  <c r="H17"/>
  <c r="I17" s="1"/>
  <c r="J75"/>
  <c r="I75"/>
  <c r="H75"/>
  <c r="J76"/>
  <c r="F76"/>
  <c r="H54"/>
  <c r="J64"/>
  <c r="I64"/>
  <c r="H64"/>
  <c r="I29"/>
  <c r="I37" s="1"/>
  <c r="I53" s="1"/>
  <c r="E120" i="2"/>
  <c r="E119"/>
  <c r="E118"/>
  <c r="E117"/>
  <c r="E114"/>
  <c r="E113"/>
  <c r="E112"/>
  <c r="E111"/>
  <c r="K101" i="1"/>
  <c r="J101"/>
  <c r="I101"/>
  <c r="H101"/>
  <c r="G101"/>
  <c r="G96" s="1"/>
  <c r="K100"/>
  <c r="E72" i="2" s="1"/>
  <c r="J100" i="1"/>
  <c r="E71" i="2"/>
  <c r="I100" i="1"/>
  <c r="E70" i="2"/>
  <c r="G100" i="1"/>
  <c r="E68" i="2"/>
  <c r="K99" i="1"/>
  <c r="E66" i="2"/>
  <c r="J99" i="1"/>
  <c r="I99"/>
  <c r="F99" s="1"/>
  <c r="G99"/>
  <c r="K98"/>
  <c r="E60" i="2"/>
  <c r="J98" i="1"/>
  <c r="E59" i="2"/>
  <c r="I98" i="1"/>
  <c r="E58" i="2"/>
  <c r="K97" i="1"/>
  <c r="J97"/>
  <c r="I97"/>
  <c r="H97"/>
  <c r="G97"/>
  <c r="E101"/>
  <c r="E100"/>
  <c r="E99"/>
  <c r="E98"/>
  <c r="E96" s="1"/>
  <c r="E23" i="2"/>
  <c r="E18"/>
  <c r="E34"/>
  <c r="E32"/>
  <c r="F167" i="1"/>
  <c r="F166"/>
  <c r="H162"/>
  <c r="F162" s="1"/>
  <c r="F164"/>
  <c r="F163"/>
  <c r="K162"/>
  <c r="J162"/>
  <c r="I162"/>
  <c r="G162"/>
  <c r="E162"/>
  <c r="F165"/>
  <c r="F119"/>
  <c r="F118"/>
  <c r="H117"/>
  <c r="H111"/>
  <c r="E81" i="2" s="1"/>
  <c r="H116" i="1"/>
  <c r="F116" s="1"/>
  <c r="F115"/>
  <c r="K114"/>
  <c r="J114"/>
  <c r="G114"/>
  <c r="E114"/>
  <c r="K113"/>
  <c r="J113"/>
  <c r="I113"/>
  <c r="H113"/>
  <c r="F113" s="1"/>
  <c r="E113"/>
  <c r="K112"/>
  <c r="J112"/>
  <c r="F112" s="1"/>
  <c r="I112"/>
  <c r="H112"/>
  <c r="E112"/>
  <c r="K111"/>
  <c r="E84" i="2" s="1"/>
  <c r="J111" i="1"/>
  <c r="E83" i="2" s="1"/>
  <c r="G111" i="1"/>
  <c r="E80" i="2"/>
  <c r="E111" i="1"/>
  <c r="K110"/>
  <c r="K207" s="1"/>
  <c r="G13" i="4" s="1"/>
  <c r="J110" i="1"/>
  <c r="E77" i="2"/>
  <c r="I110" i="1"/>
  <c r="E76" i="2" s="1"/>
  <c r="E110" i="1"/>
  <c r="E108"/>
  <c r="K109"/>
  <c r="K108" s="1"/>
  <c r="J109"/>
  <c r="I109"/>
  <c r="H109"/>
  <c r="F109" s="1"/>
  <c r="G109"/>
  <c r="E109"/>
  <c r="G40" i="7"/>
  <c r="H40"/>
  <c r="F107" i="1"/>
  <c r="H106"/>
  <c r="H105"/>
  <c r="H104"/>
  <c r="H102" s="1"/>
  <c r="G104"/>
  <c r="F103"/>
  <c r="K102"/>
  <c r="J102"/>
  <c r="I102"/>
  <c r="E102"/>
  <c r="E97"/>
  <c r="H37" i="7"/>
  <c r="H53"/>
  <c r="J24"/>
  <c r="I24"/>
  <c r="H24"/>
  <c r="G24"/>
  <c r="G110" i="1"/>
  <c r="G108" s="1"/>
  <c r="F63"/>
  <c r="K62"/>
  <c r="F62"/>
  <c r="F61"/>
  <c r="F60"/>
  <c r="F59"/>
  <c r="J58"/>
  <c r="I58"/>
  <c r="H58"/>
  <c r="G58"/>
  <c r="E58"/>
  <c r="F57"/>
  <c r="J56"/>
  <c r="J38"/>
  <c r="F55"/>
  <c r="F54"/>
  <c r="F53"/>
  <c r="I52"/>
  <c r="H52"/>
  <c r="G52"/>
  <c r="E52"/>
  <c r="F51"/>
  <c r="H50"/>
  <c r="H38" s="1"/>
  <c r="F49"/>
  <c r="F48"/>
  <c r="F47"/>
  <c r="G46"/>
  <c r="E46"/>
  <c r="F45"/>
  <c r="F44"/>
  <c r="H43"/>
  <c r="H37" s="1"/>
  <c r="H42"/>
  <c r="H36"/>
  <c r="F41"/>
  <c r="K40"/>
  <c r="J40"/>
  <c r="I40"/>
  <c r="G40"/>
  <c r="E40"/>
  <c r="K27"/>
  <c r="J27"/>
  <c r="J210" s="1"/>
  <c r="F16" i="4" s="1"/>
  <c r="I27" i="1"/>
  <c r="H27"/>
  <c r="K26"/>
  <c r="J26"/>
  <c r="I26"/>
  <c r="H26"/>
  <c r="K25"/>
  <c r="J25"/>
  <c r="F25" s="1"/>
  <c r="I25"/>
  <c r="H25"/>
  <c r="K24"/>
  <c r="J24"/>
  <c r="I24"/>
  <c r="H24"/>
  <c r="K23"/>
  <c r="J23"/>
  <c r="J206" s="1"/>
  <c r="I23"/>
  <c r="H23"/>
  <c r="H22"/>
  <c r="G24"/>
  <c r="F24" s="1"/>
  <c r="G25"/>
  <c r="G26"/>
  <c r="G27"/>
  <c r="G23"/>
  <c r="G22" s="1"/>
  <c r="E27"/>
  <c r="E26"/>
  <c r="E25"/>
  <c r="E24"/>
  <c r="E207" s="1"/>
  <c r="E23"/>
  <c r="I52" i="7"/>
  <c r="J52"/>
  <c r="H52"/>
  <c r="I56"/>
  <c r="I58"/>
  <c r="J58"/>
  <c r="H58"/>
  <c r="I60"/>
  <c r="J60"/>
  <c r="H60"/>
  <c r="H153" i="1"/>
  <c r="F153" s="1"/>
  <c r="H159"/>
  <c r="H156"/>
  <c r="H141"/>
  <c r="F141" s="1"/>
  <c r="H129"/>
  <c r="H123" s="1"/>
  <c r="I156"/>
  <c r="E144"/>
  <c r="G144"/>
  <c r="I144"/>
  <c r="F145"/>
  <c r="F146"/>
  <c r="H144"/>
  <c r="J144"/>
  <c r="K144"/>
  <c r="F144" s="1"/>
  <c r="F148"/>
  <c r="F149"/>
  <c r="H135"/>
  <c r="H132"/>
  <c r="F132" s="1"/>
  <c r="F147"/>
  <c r="G128"/>
  <c r="G122" s="1"/>
  <c r="E108" i="2"/>
  <c r="E107"/>
  <c r="E106"/>
  <c r="E105"/>
  <c r="E54"/>
  <c r="E53"/>
  <c r="E52"/>
  <c r="E51"/>
  <c r="G85" i="1"/>
  <c r="F85"/>
  <c r="E48" i="2"/>
  <c r="E47"/>
  <c r="E46"/>
  <c r="E45"/>
  <c r="G84" i="1"/>
  <c r="E44" i="2" s="1"/>
  <c r="E43" s="1"/>
  <c r="K73" i="1"/>
  <c r="E42" i="2" s="1"/>
  <c r="J73" i="1"/>
  <c r="E41" i="2"/>
  <c r="I73" i="1"/>
  <c r="E40" i="2" s="1"/>
  <c r="H73" i="1"/>
  <c r="G73"/>
  <c r="F73" s="1"/>
  <c r="K13"/>
  <c r="E12" i="2" s="1"/>
  <c r="J13" i="1"/>
  <c r="H13"/>
  <c r="G13"/>
  <c r="I154"/>
  <c r="I124" s="1"/>
  <c r="E100" i="2" s="1"/>
  <c r="E88"/>
  <c r="F152" i="1"/>
  <c r="G15"/>
  <c r="G87"/>
  <c r="F87"/>
  <c r="G176"/>
  <c r="F176" s="1"/>
  <c r="G196"/>
  <c r="F196"/>
  <c r="G11"/>
  <c r="G10" s="1"/>
  <c r="G71"/>
  <c r="G70" s="1"/>
  <c r="G83"/>
  <c r="G82" s="1"/>
  <c r="F82" s="1"/>
  <c r="G172"/>
  <c r="F172" s="1"/>
  <c r="G192"/>
  <c r="E15"/>
  <c r="E75"/>
  <c r="E87"/>
  <c r="E176"/>
  <c r="E171"/>
  <c r="E196"/>
  <c r="E14"/>
  <c r="E74"/>
  <c r="E86"/>
  <c r="E209" s="1"/>
  <c r="E175"/>
  <c r="E195"/>
  <c r="E11"/>
  <c r="E71"/>
  <c r="E206" s="1"/>
  <c r="E205" s="1"/>
  <c r="E83"/>
  <c r="E172"/>
  <c r="E192"/>
  <c r="E191" s="1"/>
  <c r="E12"/>
  <c r="E10" s="1"/>
  <c r="E72"/>
  <c r="E84"/>
  <c r="E173"/>
  <c r="E193"/>
  <c r="H15"/>
  <c r="H10" s="1"/>
  <c r="H75"/>
  <c r="I15"/>
  <c r="I75"/>
  <c r="F75"/>
  <c r="J15"/>
  <c r="J75"/>
  <c r="K15"/>
  <c r="K75"/>
  <c r="K210" s="1"/>
  <c r="G16" i="4" s="1"/>
  <c r="F130" i="1"/>
  <c r="I11"/>
  <c r="I71"/>
  <c r="I206" s="1"/>
  <c r="J11"/>
  <c r="J10" s="1"/>
  <c r="J71"/>
  <c r="K11"/>
  <c r="F11" s="1"/>
  <c r="K71"/>
  <c r="K70" s="1"/>
  <c r="H11"/>
  <c r="H71"/>
  <c r="H206" s="1"/>
  <c r="G195"/>
  <c r="F195" s="1"/>
  <c r="G194"/>
  <c r="G208"/>
  <c r="C14" i="4" s="1"/>
  <c r="G193" i="1"/>
  <c r="F193"/>
  <c r="E194"/>
  <c r="F202"/>
  <c r="F201"/>
  <c r="F200"/>
  <c r="F199"/>
  <c r="F198"/>
  <c r="G197"/>
  <c r="F197"/>
  <c r="E197"/>
  <c r="G175"/>
  <c r="F175" s="1"/>
  <c r="G174"/>
  <c r="G171" s="1"/>
  <c r="F171" s="1"/>
  <c r="F174"/>
  <c r="G173"/>
  <c r="F173" s="1"/>
  <c r="E174"/>
  <c r="F190"/>
  <c r="F189"/>
  <c r="F188"/>
  <c r="F187"/>
  <c r="F186"/>
  <c r="G185"/>
  <c r="F185" s="1"/>
  <c r="E185"/>
  <c r="F184"/>
  <c r="F182"/>
  <c r="F181"/>
  <c r="F180"/>
  <c r="G179"/>
  <c r="F179" s="1"/>
  <c r="E179"/>
  <c r="F158"/>
  <c r="G156"/>
  <c r="F156" s="1"/>
  <c r="G150"/>
  <c r="G132"/>
  <c r="G138"/>
  <c r="F140"/>
  <c r="F134"/>
  <c r="G14"/>
  <c r="G86"/>
  <c r="F86"/>
  <c r="G12"/>
  <c r="G72"/>
  <c r="E13"/>
  <c r="E73"/>
  <c r="E70" s="1"/>
  <c r="F161"/>
  <c r="F160"/>
  <c r="F157"/>
  <c r="E156"/>
  <c r="F155"/>
  <c r="F151"/>
  <c r="E150"/>
  <c r="F143"/>
  <c r="F142"/>
  <c r="F139"/>
  <c r="E138"/>
  <c r="F137"/>
  <c r="F136"/>
  <c r="F133"/>
  <c r="E132"/>
  <c r="I22"/>
  <c r="H14"/>
  <c r="I14"/>
  <c r="J14"/>
  <c r="F14" s="1"/>
  <c r="K14"/>
  <c r="H16"/>
  <c r="G16"/>
  <c r="H12"/>
  <c r="F12" s="1"/>
  <c r="H72"/>
  <c r="J74"/>
  <c r="J70" s="1"/>
  <c r="F131"/>
  <c r="E126"/>
  <c r="F89"/>
  <c r="F90"/>
  <c r="F91"/>
  <c r="F92"/>
  <c r="F93"/>
  <c r="E88"/>
  <c r="G88"/>
  <c r="F88" s="1"/>
  <c r="H76"/>
  <c r="I76"/>
  <c r="J76"/>
  <c r="K76"/>
  <c r="G76"/>
  <c r="F76" s="1"/>
  <c r="K74"/>
  <c r="I74"/>
  <c r="H74"/>
  <c r="F74" s="1"/>
  <c r="F81"/>
  <c r="F80"/>
  <c r="F77"/>
  <c r="F33"/>
  <c r="F32"/>
  <c r="F29"/>
  <c r="G28"/>
  <c r="I28"/>
  <c r="J28"/>
  <c r="K28"/>
  <c r="E28"/>
  <c r="J16"/>
  <c r="K16"/>
  <c r="F21"/>
  <c r="F20"/>
  <c r="F17"/>
  <c r="F78"/>
  <c r="F79"/>
  <c r="K72"/>
  <c r="K12"/>
  <c r="J72"/>
  <c r="J12"/>
  <c r="J207" s="1"/>
  <c r="F13" i="4" s="1"/>
  <c r="I72" i="1"/>
  <c r="F72" s="1"/>
  <c r="I12"/>
  <c r="I207" s="1"/>
  <c r="E13" i="4" s="1"/>
  <c r="E76" i="1"/>
  <c r="E16"/>
  <c r="F18"/>
  <c r="F30"/>
  <c r="F28" s="1"/>
  <c r="F31"/>
  <c r="H28"/>
  <c r="F84"/>
  <c r="F183"/>
  <c r="F127"/>
  <c r="K22"/>
  <c r="E87" i="2"/>
  <c r="E92"/>
  <c r="E9"/>
  <c r="E38"/>
  <c r="E50"/>
  <c r="E49"/>
  <c r="E95"/>
  <c r="J156" i="1"/>
  <c r="F159"/>
  <c r="K156"/>
  <c r="F106"/>
  <c r="H100"/>
  <c r="F100" s="1"/>
  <c r="E11" i="2"/>
  <c r="F105" i="1"/>
  <c r="H99"/>
  <c r="G102"/>
  <c r="G98"/>
  <c r="E56" i="2"/>
  <c r="J96" i="1"/>
  <c r="F135"/>
  <c r="E34"/>
  <c r="F42"/>
  <c r="K96"/>
  <c r="E96" i="2"/>
  <c r="J46" i="1"/>
  <c r="K50"/>
  <c r="K46"/>
  <c r="F117"/>
  <c r="H18" i="7"/>
  <c r="H15"/>
  <c r="I40"/>
  <c r="J40"/>
  <c r="J29"/>
  <c r="I54"/>
  <c r="J37"/>
  <c r="J53"/>
  <c r="J54"/>
  <c r="E116" i="2"/>
  <c r="E115" s="1"/>
  <c r="F192" i="1"/>
  <c r="E98" i="2"/>
  <c r="K56" i="1"/>
  <c r="K52" s="1"/>
  <c r="F56"/>
  <c r="K58"/>
  <c r="E14" i="2"/>
  <c r="E17"/>
  <c r="E62"/>
  <c r="E65"/>
  <c r="F35" i="1"/>
  <c r="K64"/>
  <c r="F23"/>
  <c r="G191"/>
  <c r="F191"/>
  <c r="E110" i="2"/>
  <c r="E82" i="1"/>
  <c r="E8" i="2"/>
  <c r="J52" i="1"/>
  <c r="J108"/>
  <c r="I126"/>
  <c r="F58"/>
  <c r="K38"/>
  <c r="E30" i="2"/>
  <c r="E63"/>
  <c r="F128" i="1"/>
  <c r="I96"/>
  <c r="E103" i="2"/>
  <c r="G209" i="1"/>
  <c r="C15" i="4" s="1"/>
  <c r="E29" i="2"/>
  <c r="J34" i="1"/>
  <c r="F50"/>
  <c r="H40"/>
  <c r="F40"/>
  <c r="F43"/>
  <c r="H210"/>
  <c r="D16" i="4" s="1"/>
  <c r="H126" i="1"/>
  <c r="F129"/>
  <c r="H114"/>
  <c r="H110"/>
  <c r="E75" i="2" s="1"/>
  <c r="H108" i="1"/>
  <c r="G210"/>
  <c r="C16" i="4" s="1"/>
  <c r="G126" i="1"/>
  <c r="F126"/>
  <c r="E15" i="2"/>
  <c r="E13" s="1"/>
  <c r="K34" i="1"/>
  <c r="I210"/>
  <c r="E16" i="4" s="1"/>
  <c r="B16" s="1"/>
  <c r="F194" i="1"/>
  <c r="E39" i="2"/>
  <c r="E37" s="1"/>
  <c r="E210" i="1"/>
  <c r="F114" l="1"/>
  <c r="I111"/>
  <c r="E10" i="2"/>
  <c r="E7" s="1"/>
  <c r="F13" i="1"/>
  <c r="F19"/>
  <c r="I16"/>
  <c r="F16" s="1"/>
  <c r="D12" i="4"/>
  <c r="H208" i="1"/>
  <c r="D14" i="4" s="1"/>
  <c r="E21" i="2"/>
  <c r="H209" i="1"/>
  <c r="D15" i="4" s="1"/>
  <c r="E27" i="2"/>
  <c r="E67"/>
  <c r="F52" i="1"/>
  <c r="E86" i="2"/>
  <c r="E85" s="1"/>
  <c r="F122" i="1"/>
  <c r="J17" i="7"/>
  <c r="J15" s="1"/>
  <c r="I15"/>
  <c r="F102" i="1"/>
  <c r="F206"/>
  <c r="G120"/>
  <c r="E12" i="4"/>
  <c r="E93" i="2"/>
  <c r="H120" i="1"/>
  <c r="F123"/>
  <c r="F12" i="4"/>
  <c r="J19" i="7"/>
  <c r="J18" s="1"/>
  <c r="I18"/>
  <c r="F70" i="1"/>
  <c r="H34"/>
  <c r="H96"/>
  <c r="F96" s="1"/>
  <c r="H70"/>
  <c r="K10"/>
  <c r="F37"/>
  <c r="K206"/>
  <c r="J208"/>
  <c r="F14" i="4" s="1"/>
  <c r="H46" i="1"/>
  <c r="F46" s="1"/>
  <c r="E22"/>
  <c r="G206"/>
  <c r="I10"/>
  <c r="F10" s="1"/>
  <c r="I70"/>
  <c r="F27"/>
  <c r="E109" i="2"/>
  <c r="F121" i="1"/>
  <c r="F104"/>
  <c r="F26"/>
  <c r="F22" s="1"/>
  <c r="E69" i="2"/>
  <c r="K208" i="1"/>
  <c r="G14" i="4" s="1"/>
  <c r="H138" i="1"/>
  <c r="F138" s="1"/>
  <c r="H150"/>
  <c r="E74" i="2"/>
  <c r="H98" i="1"/>
  <c r="E78" i="2"/>
  <c r="E31"/>
  <c r="E20"/>
  <c r="E19" s="1"/>
  <c r="E64"/>
  <c r="I38" i="1"/>
  <c r="E61" i="2"/>
  <c r="F71" i="1"/>
  <c r="F110"/>
  <c r="F36"/>
  <c r="H207"/>
  <c r="D13" i="4" s="1"/>
  <c r="G207" i="1"/>
  <c r="C13" i="4" s="1"/>
  <c r="F83" i="1"/>
  <c r="F101"/>
  <c r="J22"/>
  <c r="F97"/>
  <c r="I123"/>
  <c r="F15"/>
  <c r="I150"/>
  <c r="J154"/>
  <c r="E82" i="2" l="1"/>
  <c r="E79" s="1"/>
  <c r="F111" i="1"/>
  <c r="F208" s="1"/>
  <c r="I108"/>
  <c r="F108" s="1"/>
  <c r="G12" i="4"/>
  <c r="B12" s="1"/>
  <c r="D11"/>
  <c r="F210" i="1"/>
  <c r="B13" i="4"/>
  <c r="E25" i="2"/>
  <c r="E28"/>
  <c r="I209" i="1"/>
  <c r="E15" i="4" s="1"/>
  <c r="I34" i="1"/>
  <c r="F34" s="1"/>
  <c r="G205"/>
  <c r="C12" i="4"/>
  <c r="C11" s="1"/>
  <c r="J124" i="1"/>
  <c r="J150"/>
  <c r="K154"/>
  <c r="I120"/>
  <c r="E94" i="2"/>
  <c r="E91" s="1"/>
  <c r="I208" i="1"/>
  <c r="E57" i="2"/>
  <c r="E55" s="1"/>
  <c r="F98" i="1"/>
  <c r="F207" s="1"/>
  <c r="F38"/>
  <c r="H205"/>
  <c r="E73" i="2"/>
  <c r="K150" i="1" l="1"/>
  <c r="F150" s="1"/>
  <c r="K124"/>
  <c r="F154"/>
  <c r="J120"/>
  <c r="E101" i="2"/>
  <c r="F124" i="1"/>
  <c r="F209" s="1"/>
  <c r="J209"/>
  <c r="E14" i="4"/>
  <c r="I205" i="1"/>
  <c r="F15" i="4" l="1"/>
  <c r="J205" i="1"/>
  <c r="E11" i="4"/>
  <c r="B14"/>
  <c r="E102" i="2"/>
  <c r="E97" s="1"/>
  <c r="E123" s="1"/>
  <c r="K120" i="1"/>
  <c r="F120" s="1"/>
  <c r="K209"/>
  <c r="B15" i="4" l="1"/>
  <c r="B11" s="1"/>
  <c r="F11"/>
  <c r="G15"/>
  <c r="G11" s="1"/>
  <c r="K205" i="1"/>
  <c r="F205" s="1"/>
  <c r="E124" i="2" s="1"/>
  <c r="E125" s="1"/>
</calcChain>
</file>

<file path=xl/sharedStrings.xml><?xml version="1.0" encoding="utf-8"?>
<sst xmlns="http://schemas.openxmlformats.org/spreadsheetml/2006/main" count="1577" uniqueCount="544">
  <si>
    <t>№ п/п</t>
  </si>
  <si>
    <t>Ответственный за выполнение мероприятий программы</t>
  </si>
  <si>
    <t>Результаты выполнения мероприятий программы</t>
  </si>
  <si>
    <t>2017-2021 годы</t>
  </si>
  <si>
    <t xml:space="preserve">Итого: </t>
  </si>
  <si>
    <t>Средства бюджета Московской области</t>
  </si>
  <si>
    <t>1.1.</t>
  </si>
  <si>
    <t>2.1.</t>
  </si>
  <si>
    <t>3.</t>
  </si>
  <si>
    <t>4.1.</t>
  </si>
  <si>
    <t>5.</t>
  </si>
  <si>
    <t>Итого:</t>
  </si>
  <si>
    <t>7.</t>
  </si>
  <si>
    <t>Итого по программе</t>
  </si>
  <si>
    <t>Объем финансирования по годам (тыс. руб.)</t>
  </si>
  <si>
    <t>Источники финансирования</t>
  </si>
  <si>
    <t>Мероприятия по реализации программы</t>
  </si>
  <si>
    <t>Сроки исполнения мероприятий</t>
  </si>
  <si>
    <t>Повышение интеллектуально-культурного и духовно-нравственного уровня жителей</t>
  </si>
  <si>
    <t>5.1.</t>
  </si>
  <si>
    <t>7.1.</t>
  </si>
  <si>
    <t>Перечень мероприятий муниципальной программы</t>
  </si>
  <si>
    <t>Объем финансирования мероприятия в текущем финансовом году (тыс.руб.)</t>
  </si>
  <si>
    <t>1.</t>
  </si>
  <si>
    <t>Средства федерального бюджета</t>
  </si>
  <si>
    <t>Средства бюджетов поселений Пушкинского муниципального района</t>
  </si>
  <si>
    <t>Внебюджетные источники</t>
  </si>
  <si>
    <t>2.</t>
  </si>
  <si>
    <t>4.</t>
  </si>
  <si>
    <t>6.</t>
  </si>
  <si>
    <t>6.1.</t>
  </si>
  <si>
    <t>7.2</t>
  </si>
  <si>
    <t>8.</t>
  </si>
  <si>
    <t xml:space="preserve">Паспорт муниципальной программы </t>
  </si>
  <si>
    <t>Координатор муниципальной программы</t>
  </si>
  <si>
    <t>Заместитель Главы  администрации, курирующий работу Управления развития отраслей социальной сферы администрации Пушкинского муниципального района</t>
  </si>
  <si>
    <t>Муниципальный заказчик муниципальной программы</t>
  </si>
  <si>
    <t>Управление  развития отраслей социальной сферы администрации Пушкинского муниципального района</t>
  </si>
  <si>
    <t>Цели муниципальной программы</t>
  </si>
  <si>
    <t>Расходы (тыс. рублей)</t>
  </si>
  <si>
    <t>в том числе по годам:</t>
  </si>
  <si>
    <t>Всего</t>
  </si>
  <si>
    <t>2017 год</t>
  </si>
  <si>
    <t>2018 год</t>
  </si>
  <si>
    <t>2019 год</t>
  </si>
  <si>
    <t>2020 год</t>
  </si>
  <si>
    <t>2021 год</t>
  </si>
  <si>
    <t>Всего, в том числе по годам:</t>
  </si>
  <si>
    <t>Планируемые результаты  реализации муниципальной программы</t>
  </si>
  <si>
    <t>N п/п</t>
  </si>
  <si>
    <t>Планируемые результаты реализации муниципальной программы</t>
  </si>
  <si>
    <t>Тип Показателя</t>
  </si>
  <si>
    <t>Единица измерения</t>
  </si>
  <si>
    <t>Планируемое значение показателя по годам реализации</t>
  </si>
  <si>
    <t>%</t>
  </si>
  <si>
    <t xml:space="preserve"> - </t>
  </si>
  <si>
    <t>единиц</t>
  </si>
  <si>
    <t xml:space="preserve">Предоставление обоснования финансовых ресурсов, необходимых для реализации мероприятий программы </t>
  </si>
  <si>
    <t>Наименование мероприятия программы</t>
  </si>
  <si>
    <t>Источник финансирования</t>
  </si>
  <si>
    <t>Расчет необходимых финансовых ресурсов на реализацию мероприятия</t>
  </si>
  <si>
    <t xml:space="preserve">Общий объем финансовых ресурсов, необходимых для реализации мероприятия, в том числе по годам (тыс.руб.) </t>
  </si>
  <si>
    <t>Эксплуатационные расходы, возникающие в результате реализации мероприятия</t>
  </si>
  <si>
    <t>Всего:</t>
  </si>
  <si>
    <t xml:space="preserve">2017  – </t>
  </si>
  <si>
    <t xml:space="preserve">2018  – </t>
  </si>
  <si>
    <t xml:space="preserve">2019  – </t>
  </si>
  <si>
    <t xml:space="preserve">2020  – </t>
  </si>
  <si>
    <t xml:space="preserve">2021  – </t>
  </si>
  <si>
    <t>Приложение № 1 к Программе</t>
  </si>
  <si>
    <t>Приложение № 4 к Программе</t>
  </si>
  <si>
    <t>Средства бюджета Пушкинского муниципального района</t>
  </si>
  <si>
    <t>«КУЛЬТУРА ПУШКИНСКОГО МУНИЦИПАЛЬНОГО РАЙОНА НА 2017-2021 ГОДЫ»</t>
  </si>
  <si>
    <t>Мероприятие 1. Проведение праздничных мероприятий</t>
  </si>
  <si>
    <t>Доведение уровня организации и проведения праздничных мероприятий до 100% выполнения от числа запланированных в отчётном году</t>
  </si>
  <si>
    <t xml:space="preserve">«КУЛЬТУРА ПУШКИНСКОГО МУНИЦИПАЛЬНОГО РАЙОНА НА 2017-2021 ГОДЫ»
</t>
  </si>
  <si>
    <t>Создание условий по привлекательности и разнообразию внутреннего туризма в Пушкинском муниципальном районе</t>
  </si>
  <si>
    <t xml:space="preserve">Ежемесячное обновление информации и предстоящих экскурсиях и выставочных проектах </t>
  </si>
  <si>
    <t>Мероприятие 1. Подписка периодических изданий</t>
  </si>
  <si>
    <t>Мероприятие 1.Приобретение RFID-оборудования, программного обеспечения и бесконтактной карты с RFID-чипом для идентификации читателя для муниципальных общедоступных библиотек муниципальных образований Московской области, имеющих статус центральной</t>
  </si>
  <si>
    <t>Увеличение числа посетителей муниципальных библиотек</t>
  </si>
  <si>
    <t>Повышение значения показателя «Соответствие стандарту деятельности библиотек»</t>
  </si>
  <si>
    <t>Обеспечение оснащения муниципальных общедоступных библиотек муниципальных образований Московской области, имеющих статус центральной, электронным читательским билетом</t>
  </si>
  <si>
    <t>Мероприятие 1. Организация работы по увеличению посещаемости учреждений культуры</t>
  </si>
  <si>
    <t>*</t>
  </si>
  <si>
    <t>8.1</t>
  </si>
  <si>
    <t>Увеличение количества вовлеченных в хозяйственный оборот объектов культурного наследия, находящихся в муниципальной собственности</t>
  </si>
  <si>
    <t>9.</t>
  </si>
  <si>
    <t>9.1</t>
  </si>
  <si>
    <t>9.2</t>
  </si>
  <si>
    <t>9.3</t>
  </si>
  <si>
    <t>10.</t>
  </si>
  <si>
    <t>10.1</t>
  </si>
  <si>
    <t>11.</t>
  </si>
  <si>
    <t>11.1</t>
  </si>
  <si>
    <t>Мероприятие 1. Капитальный ремонт здания МБУ «Дом культуры «Сирин» городского поселения Лесной Пушкинского муниципального района</t>
  </si>
  <si>
    <t>Администрация городского поселения Лесной</t>
  </si>
  <si>
    <t>Завершение строительства, реконструкции, модернизации объектов культуры</t>
  </si>
  <si>
    <t>12.</t>
  </si>
  <si>
    <t>12.1</t>
  </si>
  <si>
    <t>Мероприятие 1. Создание комфортных условий для пребывания туристических групп</t>
  </si>
  <si>
    <t>13.1</t>
  </si>
  <si>
    <t>Доля проведенных культурно-досуговых мероприятий от числа запланированных в отчётном году</t>
  </si>
  <si>
    <t>Соответствие стандарту деятельности библиотек</t>
  </si>
  <si>
    <t>Количество приобретаемых считывателей</t>
  </si>
  <si>
    <t>Количество приобретаемых RFID-карт</t>
  </si>
  <si>
    <t>Количество отделов, обслуживающих читателей, в которых отсутствует программное обеспечение</t>
  </si>
  <si>
    <t>штук</t>
  </si>
  <si>
    <t>-</t>
  </si>
  <si>
    <t>4 675</t>
  </si>
  <si>
    <t>Количество вовлеченных в хозяйственный оборот объектов культурного наследия, находящихся в муниципальной собственности</t>
  </si>
  <si>
    <t>Завершение капитального ремонта МБУ «Дом культуры «Сирин» городского поселения Лесной Пушкинского муниципального района</t>
  </si>
  <si>
    <t>13.</t>
  </si>
  <si>
    <t>14.</t>
  </si>
  <si>
    <t>Объемы финансовых ресурсов определены в соответствии с бюджетным планированием, экономической потребностью, на основе средней стоимости аналогичных работ, с учётом индекса-дефлятора (ценового индекса) с Портала гос.закупок- zakupki.gov.ru</t>
  </si>
  <si>
    <t>Наименование показателя</t>
  </si>
  <si>
    <t xml:space="preserve">Методика расчета показателя и единица измерения </t>
  </si>
  <si>
    <t>Периодичность предоставления</t>
  </si>
  <si>
    <t>Значение показателя рассчитывается по формуле:</t>
  </si>
  <si>
    <t>Y = P/Z*100%, где:</t>
  </si>
  <si>
    <t xml:space="preserve">Y –  доля проведенных культурно-досуговых мероприятий </t>
  </si>
  <si>
    <t>P – количество проведенных культурно-досуговых мероприятий;</t>
  </si>
  <si>
    <t>Z – количество запланированных культурно-досуговых мероприятий.</t>
  </si>
  <si>
    <t xml:space="preserve">Ежеквартально </t>
  </si>
  <si>
    <t>1 раз в год</t>
  </si>
  <si>
    <t>По итогам мониторинга</t>
  </si>
  <si>
    <t>Ежеквартально</t>
  </si>
  <si>
    <t>Показатель рассчитывается на основании фактического количества муниципальных общедоступных библиотек Пушкинского муниципального района Московской области, получивших RFID-оборудование, программное обеспечение и бесконтактную смарт-карту с RFID-чипом для идентификации читателя для муниципальных общедоступных библиотек муниципальных образований Московской области, имеющих статус центральных, с программным обеспечением «Специальный программный модуль RFID-bridge для удалённой работы RFID-оборудования в муниципальных общедоступных библиотеках муниципальных образований Московской области, имеющих статус центральных, с использованием Единой информационной системы учёта библиотечных фондов с оцифровкой наиболее ценных и уникальных экземпляров с интегрированной автоматизированной библиотечной системой OPAC GLOBAL»</t>
  </si>
  <si>
    <t>Показатель рассчитывается на основании фактического количества приобретённых считывателей муниципальными общедоступными библиотеками Пушкинского муниципального района Московской области, имеющими статус центральных</t>
  </si>
  <si>
    <t>Показатель рассчитывается на основании фактического количества приобретённых RFID-карт муниципальными общедоступными библиотеками Пушкинского муниципального района Московской области, имеющими статус центральных</t>
  </si>
  <si>
    <t>Показатель рассчитывается на основании фактического количества отделов муниципальных общедоступных библиотек Пушкинского муниципального района Московской области, имеющих статус центральных, обслуживающих читателей, в которых отсутствует программное обеспечение</t>
  </si>
  <si>
    <t>О = В+С, где:</t>
  </si>
  <si>
    <t>O – количество вовлеченных в хозяйственный оборот объектов культурного наследия, находящихся в муниципальной собственности</t>
  </si>
  <si>
    <t>В – количество объектов вовлеченных в хозяйственный оборот в текущем году;</t>
  </si>
  <si>
    <t xml:space="preserve">С – количество объектов вовлеченных в хозяйственный оборот в прошлом году  </t>
  </si>
  <si>
    <t xml:space="preserve">Методика расчёта показателя: </t>
  </si>
  <si>
    <t>Проведение инженерного обследование здания Краеведческого музея города Пушкино Московской области</t>
  </si>
  <si>
    <t>С = А/В*100% где:</t>
  </si>
  <si>
    <t>С – проведение инженерного обследование здания Краеведческого музея города Пушкино Московской области.</t>
  </si>
  <si>
    <t>А – целевое финансирование незавершенных этапов СМР на 2017 год;</t>
  </si>
  <si>
    <t>В – плановая стоимость СМР требующихся для завершения работ в 2017 году;</t>
  </si>
  <si>
    <t>С – завершение капитального ремонта МБУ «Дом культуры «Сирин» городского поселения Лесной Пушкинского муниципального района</t>
  </si>
  <si>
    <t>Ежегодно</t>
  </si>
  <si>
    <t>Приложение № 3 к Программе</t>
  </si>
  <si>
    <t>Исходные материалы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</si>
  <si>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</si>
  <si>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</si>
  <si>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</si>
  <si>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</si>
  <si>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</si>
  <si>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</si>
  <si>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</si>
  <si>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</si>
  <si>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</si>
  <si>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</si>
  <si>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</si>
  <si>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</si>
  <si>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</si>
  <si>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</si>
  <si>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</si>
  <si>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Базовое значение показателя (на начало реализации программы)</t>
  </si>
  <si>
    <t>№ основного мероприятия в перечне мероприятий программы</t>
  </si>
  <si>
    <t>Макропоказатель. Расширение возможностей для культурного и духовного развития жителей Пушкинского муниципального района</t>
  </si>
  <si>
    <t xml:space="preserve">Z= P * S, где:           </t>
  </si>
  <si>
    <t xml:space="preserve"> Z –  затраты на организацию и проведение </t>
  </si>
  <si>
    <t xml:space="preserve">праздничных мероприятий; </t>
  </si>
  <si>
    <t xml:space="preserve">P – количество проведенных культурно-досуговых </t>
  </si>
  <si>
    <t xml:space="preserve">мероприятий; </t>
  </si>
  <si>
    <t xml:space="preserve">                                                                                                                                  </t>
  </si>
  <si>
    <t xml:space="preserve">B = P * F, где:      </t>
  </si>
  <si>
    <t xml:space="preserve"> B – средства на подписку периодических изданий;</t>
  </si>
  <si>
    <t>P – стоимость одной подписки на периодические</t>
  </si>
  <si>
    <t xml:space="preserve"> издания (журналы и газеты);</t>
  </si>
  <si>
    <t xml:space="preserve">                                                                                         </t>
  </si>
  <si>
    <t>F – количество филиалов библиотек.</t>
  </si>
  <si>
    <t>Источники финансирования муниципальной программы</t>
  </si>
  <si>
    <t xml:space="preserve">Примечание: </t>
  </si>
  <si>
    <t>*- мероприятия, не требующие финансирования</t>
  </si>
  <si>
    <t>1.1</t>
  </si>
  <si>
    <t>2.1</t>
  </si>
  <si>
    <t>3.1</t>
  </si>
  <si>
    <t>3.2</t>
  </si>
  <si>
    <t>4.1</t>
  </si>
  <si>
    <t>5.1</t>
  </si>
  <si>
    <t>5.2</t>
  </si>
  <si>
    <t>6.1</t>
  </si>
  <si>
    <t>7.1</t>
  </si>
  <si>
    <t>S – денежные средства на одно культурно-досуговое мероприятие.</t>
  </si>
  <si>
    <t>Количество муниципальных общедоступных библиотек муниципальных образований Московской области, имеющих статус центральных, подключенных к модулю учёта пользователей библиотек Московской области системы ЕИСУБ</t>
  </si>
  <si>
    <r>
      <t>Основное мероприятие 1.</t>
    </r>
    <r>
      <rPr>
        <sz val="9.5"/>
        <color indexed="8"/>
        <rFont val="Times New Roman"/>
        <family val="1"/>
      </rPr>
      <t xml:space="preserve"> Проведение ежегодных праздников и культурно-досуговых мероприятий в Пушкинском муниципальном районе</t>
    </r>
  </si>
  <si>
    <t>Мероприятие 1. Обеспечение деятельности МБУДО "Пушкинская детская музыкальная школа №1"</t>
  </si>
  <si>
    <t xml:space="preserve">Проведение инженерного обследование здания Краеведческого музея города Пушкино Московской области </t>
  </si>
  <si>
    <t>8.2</t>
  </si>
  <si>
    <t>единица</t>
  </si>
  <si>
    <t>Отчёт музея</t>
  </si>
  <si>
    <t>Подготовка сопроводительной документации для вхождения в государственную программу по реконструкции и реставрации МБУК «Краеведческий музей города Пушкино Московской области</t>
  </si>
  <si>
    <t>С – подготовка сопроводительной документации для вхождения в государственную программу по реконструкции и реставрации МБУК «Краеведческий музей города Пушкино Московской области</t>
  </si>
  <si>
    <t>А – целевое финансирование работ;</t>
  </si>
  <si>
    <t>В – плановая стоимость работ;</t>
  </si>
  <si>
    <t>Обеспечение деятельности учреждений дополнительного образования в сфере культуры. Повышение качества муниципальных услуг, предоставляемых учреждениями дополнительного образования в сфере культуры.</t>
  </si>
  <si>
    <t>Обеспечение деятельности учреждений культуры. Повышение качества муниципальных услуг, предоставляемых учреждениями культуры.</t>
  </si>
  <si>
    <t xml:space="preserve">Увеличение числа подписчиков </t>
  </si>
  <si>
    <t>Увеличение посещаемости учреждений культуры. Увеличение количества предоставляемых услуг учреждениями культуры.</t>
  </si>
  <si>
    <t xml:space="preserve">Завершение капитального ремонта МБУ «Дом культуры «Сирин» городского поселения Лесной Пушкинского муниципального района </t>
  </si>
  <si>
    <t>11.2</t>
  </si>
  <si>
    <r>
      <t>Методика расчета значений показател</t>
    </r>
    <r>
      <rPr>
        <sz val="10"/>
        <color indexed="8"/>
        <rFont val="Times New Roman"/>
        <family val="1"/>
        <charset val="204"/>
      </rPr>
      <t xml:space="preserve">ей эффективности реализации программы </t>
    </r>
  </si>
  <si>
    <t>Основное мероприятие 1. Проведение ежегодных праздников и культурно-досуговых мероприятий в Пушкинском муниципальном районе</t>
  </si>
  <si>
    <t>Проведение ежегодных праздников и культурно-досуговых мероприятий в Пушкинском муниципальном районе</t>
  </si>
  <si>
    <t>Повышение качества библиотечного обслуживания</t>
  </si>
  <si>
    <t>Увеличение доли учреждений клубного типа, соответствующих Требованиям к условиям деятельности культурно-досуговых учреждений Московской области</t>
  </si>
  <si>
    <t>**</t>
  </si>
  <si>
    <t>С = Вс / В * 100, где:</t>
  </si>
  <si>
    <t>С – доля культурно-досуговых учреждений Московской области, соответствующих стандарту;</t>
  </si>
  <si>
    <t>Вс – количество муниципальных культурно-досуговых учреждений Московской области, соответствующих стандарту;</t>
  </si>
  <si>
    <t>В – количество сетевых единиц культурно-досуговых учреждений Московской области.</t>
  </si>
  <si>
    <t>Отчёт о результутах оценки культурно-досуговых учреждений Московской области на соответствие требованиям к условиям культурно-досуговых учреждений Московской области (стандарту)</t>
  </si>
  <si>
    <t>31.</t>
  </si>
  <si>
    <t>30.</t>
  </si>
  <si>
    <t>32.</t>
  </si>
  <si>
    <t>Обеспечение деятельности учреждений дополнительного образования в сфере культуры. Повышение качества муниципальных услуг, предоставляемых учреждениями дополнительного образования в сфере культуры. В июле 2018 года произошла реорганизация Муниципального бюджетного учреждения дополнительного образования «Софринская детская музыкальная школа № 1» Пушкинского муниципального района Московской области путем присоединения к нему Муниципального бюджетного учреждения дополнительного образования «Софринская детская музыкальная школа № 2» Пушкинского муниципального района Московской области и переименовании в Муниципальное бюджетное учреждение дополнительного образования «Софринская детская музыкальная школа» Пушкинского муниципального района Московской области на основании постановления администрации Пушкинского муниципального района Московской области от 29.11.2017 № 2880</t>
  </si>
  <si>
    <t>6.2</t>
  </si>
  <si>
    <t>Доля детей, привлекаемых к участию в творческих мероприятиях</t>
  </si>
  <si>
    <t>5.3</t>
  </si>
  <si>
    <t>5.4</t>
  </si>
  <si>
    <t>33.</t>
  </si>
  <si>
    <t>Показатель муниципальной программы</t>
  </si>
  <si>
    <t>Сб = Вб / ОК * 100, где:</t>
  </si>
  <si>
    <t>Вб – количество сетевых единиц библиотек Пушкинского муниципального района Московской области, соответствующих единым Требованиям  к условиям деятельности библиотек Московской области;</t>
  </si>
  <si>
    <t>Сб – доля библиотек Пушкинского муниципального района Московской области, соответствующих единым Требованиям  к условиям деятельности библиотек Московской области;</t>
  </si>
  <si>
    <t>ОК – общее количество сетевых единиц  доля библиотек Пушкинского муниципального района Московской области.</t>
  </si>
  <si>
    <t>Данные органов местного самоуправления</t>
  </si>
  <si>
    <t>Зк – средняя заработная плата работников муниципальных учреждений культуры Московской области;</t>
  </si>
  <si>
    <t>Дмо – среднемесячный доход от трудовой деятельности Московской области.</t>
  </si>
  <si>
    <t>КДФ / КДФ2017 – количество участников клубных формирований в отчетном году / в 2017 году, тыс. человек;</t>
  </si>
  <si>
    <t>Прирост посещений музеев</t>
  </si>
  <si>
    <t>Количество посещений музеев</t>
  </si>
  <si>
    <t>Прирост посещений общедоступных (публичных) библиотек</t>
  </si>
  <si>
    <t>Количество посещений общедоступных (публичных) библиотек</t>
  </si>
  <si>
    <t>Прирост посещений культурно-массовых мероприятий клубов и домов культуры</t>
  </si>
  <si>
    <t>Количество посещений культурно-массовых мероприятий клубов и домов культуры</t>
  </si>
  <si>
    <t>Прирост участников клубных формирований</t>
  </si>
  <si>
    <t>Количество участников клубных формирований</t>
  </si>
  <si>
    <t>Прирост учащихся ДШИ</t>
  </si>
  <si>
    <t>Количество учащихся ДШИ</t>
  </si>
  <si>
    <t>тыс. чел.</t>
  </si>
  <si>
    <t>П – планируемый показатель;</t>
  </si>
  <si>
    <t>Ч (тм) – численность участников творческих мероприятий;</t>
  </si>
  <si>
    <t>П=Ч(тм)/Ч(д) x100, где:</t>
  </si>
  <si>
    <t>Ч(д) – общая численность детей в возрасте от 5 до 18 лет, проживающих на территории Пушкинского муниципального района</t>
  </si>
  <si>
    <t>2021 год СДМШ, 2022 год все остальные</t>
  </si>
  <si>
    <t>Приложение № 2 к Программе</t>
  </si>
  <si>
    <t>Основное мероприятие 2. Развитие туристской инфраструктуры Пушкинского муниципального района Московской области</t>
  </si>
  <si>
    <r>
      <t>Основное мероприятие 2.</t>
    </r>
    <r>
      <rPr>
        <sz val="9.5"/>
        <color indexed="8"/>
        <rFont val="Times New Roman"/>
        <family val="1"/>
        <charset val="204"/>
      </rPr>
      <t xml:space="preserve"> Развитие туристской инфраструктуры Пушкинского муниципального района Московской области</t>
    </r>
  </si>
  <si>
    <t>Отраслевой показатель</t>
  </si>
  <si>
    <r>
      <t>Основное мероприятие 3.</t>
    </r>
    <r>
      <rPr>
        <sz val="9.5"/>
        <color indexed="8"/>
        <rFont val="Times New Roman"/>
        <family val="1"/>
      </rPr>
      <t xml:space="preserve"> Организация библиотечного обслуживания населения муниципальными библиотеками Московской области</t>
    </r>
  </si>
  <si>
    <t xml:space="preserve">Мероприятие 1. Организация библиотечного обслуживания населения МБУК "Межпоселенческая библиотека Пушкинского муниципального района Московской области (Центральная библиотека, филиальная сеть в сельских поселениях)"                    </t>
  </si>
  <si>
    <t xml:space="preserve">Мероприятие 2. Организация библиотечного обслуживания населения МБУК "Межпоселенческая библиотека Пушкинского муниципального района Московской области" (филиалы библиотек г.п. Пушкино, г.п. Ашукино, г.п. Зеленоградский, г.п. Лесной, г.п. Правдинский, г.п. Софрино, г.п. Черкизово)
</t>
  </si>
  <si>
    <t>3.3</t>
  </si>
  <si>
    <t>3.4</t>
  </si>
  <si>
    <t>Мероприятие 3. Государственная поддержка работников муниципальных учреждений культуры, находящихся на территории сельских поселений</t>
  </si>
  <si>
    <t>Мероприятие 4. Государственная поддержка муниципальных учреждений культуры, находящихся на территории сельских поселений</t>
  </si>
  <si>
    <t>2019-2021 годы</t>
  </si>
  <si>
    <t>Мероприятие 1. Реализация приоритетного проекта Московской области «Перезагрузка библиотек Подмосковья»</t>
  </si>
  <si>
    <r>
      <t>Основное мероприятие 4.</t>
    </r>
    <r>
      <rPr>
        <sz val="9.5"/>
        <color indexed="8"/>
        <rFont val="Times New Roman"/>
        <family val="1"/>
      </rPr>
      <t xml:space="preserve"> Повышение качества библиотечного обслуживания</t>
    </r>
  </si>
  <si>
    <r>
      <t xml:space="preserve">Основное мероприятие 5. </t>
    </r>
    <r>
      <rPr>
        <sz val="9.5"/>
        <color indexed="8"/>
        <rFont val="Times New Roman"/>
        <family val="1"/>
      </rPr>
      <t>Соответствие стандарту деятельности библиотек</t>
    </r>
  </si>
  <si>
    <r>
      <t xml:space="preserve">Основное мероприятие 6. </t>
    </r>
    <r>
      <rPr>
        <sz val="9.5"/>
        <color indexed="8"/>
        <rFont val="Times New Roman"/>
        <family val="1"/>
        <charset val="204"/>
      </rPr>
      <t>Перезагрузка библиотек Подмосковья. Развитие литературного творчества и популяризация чтения</t>
    </r>
  </si>
  <si>
    <t>Основное мероприятие 3. Организация библиотечного обслуживания населения муниципальными библиотеками Московской области</t>
  </si>
  <si>
    <t xml:space="preserve">Обеспечение роста числа пользователей муниципальных библиотек Московской области </t>
  </si>
  <si>
    <t>человек</t>
  </si>
  <si>
    <t>Количество посещений организаций культуры по отношению к уровню 2010 года (на поддержку отрасли культуры в части государственной поддержки муниципальных учреждений культуры, находящихся на территории сельских поселений)</t>
  </si>
  <si>
    <t>Количество посещений организаций культуры по отношению к уровню 2010 года (на поддержку отрасли культуры в части государственной поддержки лучших работников муниципальных учреждений культуры, находящихся на территории сельских поселений)</t>
  </si>
  <si>
    <t>Увеличение числа посещений муниципальных библиотек</t>
  </si>
  <si>
    <t>процент</t>
  </si>
  <si>
    <t>**- показатель оценивается начиная с  2018 года</t>
  </si>
  <si>
    <t>***</t>
  </si>
  <si>
    <t>Доля муниципальных библиотек, соответствующих требованиям к условиям деятельности библиотек Московской области (стандарту)</t>
  </si>
  <si>
    <t>Основное мероприятие 4. Повышение качества библиотечного обслуживания</t>
  </si>
  <si>
    <t>Основное мероприятие 5. Соответствие стандарту деятельности библиотек</t>
  </si>
  <si>
    <t>*- показатель оценивается в 2018 году</t>
  </si>
  <si>
    <t>Увеличение количества библиотек, внедривших стандарты деятельности библиотеки нового формата</t>
  </si>
  <si>
    <t>Обращение Губернатора Московской области</t>
  </si>
  <si>
    <t>Увеличение посещаемости общедоступных (публичных) библиотек, а также культурно-массовых мероприятий, проводимых в библиотеках Московской области к уровню 2017 года</t>
  </si>
  <si>
    <t>Национальный проект «Культура»</t>
  </si>
  <si>
    <r>
      <t>Основное мероприятие 7.</t>
    </r>
    <r>
      <rPr>
        <sz val="9.5"/>
        <color indexed="8"/>
        <rFont val="Times New Roman"/>
        <family val="1"/>
      </rPr>
      <t xml:space="preserve"> Обеспечение выполнения функций муниципальных музеев Московской области </t>
    </r>
  </si>
  <si>
    <t>Мероприятие 1. Оказание муниципальных услуг (выполнение работ) МБУК «Краеведческий музей города Пушкино Московской области»</t>
  </si>
  <si>
    <t>Основное мероприятие 6.  Перезагрузка библиотек Подмосковья. Развитие литературного творчества и популяризация чтения</t>
  </si>
  <si>
    <t xml:space="preserve">Увеличение общего количества посещений музеев </t>
  </si>
  <si>
    <t xml:space="preserve">Прирост количества выставочных проектов относительно уровня 2012 года </t>
  </si>
  <si>
    <t>Указ Президента Российской Федерации</t>
  </si>
  <si>
    <t>1.2</t>
  </si>
  <si>
    <t xml:space="preserve">Доля расходов бюджета, распределяемых на конкурсной основе, от общего объема расходов, предоставляемых на реализацию проектов в сфере культуры </t>
  </si>
  <si>
    <t xml:space="preserve">Основное мероприятие 7.  Обеспечение выполнения функций муниципальных музеев  Московской области </t>
  </si>
  <si>
    <t>Показатель к соглашению с ФОИВ</t>
  </si>
  <si>
    <t>Увеличение числа посетителей муниципальных музеев</t>
  </si>
  <si>
    <t>8.1.</t>
  </si>
  <si>
    <t>Увеличение числа посетителей муниципальных домов культуры</t>
  </si>
  <si>
    <r>
      <t>Основное мероприятие 8.</t>
    </r>
    <r>
      <rPr>
        <sz val="9.5"/>
        <color indexed="8"/>
        <rFont val="Times New Roman"/>
        <family val="1"/>
      </rPr>
      <t xml:space="preserve"> Обеспечение функций муниципальных учреждений культуры Московской области</t>
    </r>
  </si>
  <si>
    <t>Мероприятие 1. Обеспечение развития и укрепления материально-технической базы МБУК "Районный Дом культуры "Строитель"</t>
  </si>
  <si>
    <t>Основное мероприятие 8. Обеспечение функций муниципальных учреждений культуры Московской области</t>
  </si>
  <si>
    <t>Увеличение числа посещений платных культурно-массовых мероприятий клубов и домов культуры к уровню 2017 года</t>
  </si>
  <si>
    <t>Увеличение числа участников клубных формирований к уровню 2017 года</t>
  </si>
  <si>
    <t>8.3</t>
  </si>
  <si>
    <r>
      <t>Основное мероприятие 9.</t>
    </r>
    <r>
      <rPr>
        <sz val="9.5"/>
        <color indexed="8"/>
        <rFont val="Times New Roman"/>
        <family val="1"/>
      </rPr>
      <t xml:space="preserve"> Дополнительное образование, воспитание и психолого-социальное сопровождение детей</t>
    </r>
  </si>
  <si>
    <t>9.1.</t>
  </si>
  <si>
    <t>9.3.</t>
  </si>
  <si>
    <t>9.5.</t>
  </si>
  <si>
    <t>9.7.</t>
  </si>
  <si>
    <t>9.8.</t>
  </si>
  <si>
    <t>Увеличение посещаемости учреждений дополнительного образования в сфере культуры.</t>
  </si>
  <si>
    <t>Указ Президента  РФ от 07.05.2012 № 597</t>
  </si>
  <si>
    <t xml:space="preserve">Обеспечение детских музыкальных школ
и школ искусств необходимыми музыкальными инструментами
(количество  оснащенных необходимыми музыкальными инструментами образовательных организаций сферы культуры)
</t>
  </si>
  <si>
    <t>Данные из АИС МОНИТОРИНГ СОЦИАЛЬНО-ЭКОНОМИЧЕСКОГО РАЗВИТИЯ МОСКОВСКОЙ ОБЛАСТИ с использованием регионального сегмента ГАС «Управление»</t>
  </si>
  <si>
    <t>10.1.</t>
  </si>
  <si>
    <t>Основное мероприятие 10. Активизация работы учреждений культуры Пушкинского муниципального района</t>
  </si>
  <si>
    <t>10.2</t>
  </si>
  <si>
    <r>
      <t xml:space="preserve">Основное мероприятие 10. </t>
    </r>
    <r>
      <rPr>
        <sz val="9.5"/>
        <color indexed="8"/>
        <rFont val="Times New Roman"/>
        <family val="1"/>
      </rPr>
      <t>Активизация работы учреждений культуры Пушкинского муниципального района</t>
    </r>
  </si>
  <si>
    <r>
      <t xml:space="preserve">Основное мероприятие 11. </t>
    </r>
    <r>
      <rPr>
        <sz val="9.5"/>
        <color indexed="8"/>
        <rFont val="Times New Roman"/>
        <family val="1"/>
        <charset val="204"/>
      </rPr>
      <t>Сохранение и популяризация объектов культурного наследия</t>
    </r>
  </si>
  <si>
    <t>11.3</t>
  </si>
  <si>
    <t>Вхождения в государственную программу по реконструкции и реставрации МБУК "Краеведческий музей города Пушкино Московской области"</t>
  </si>
  <si>
    <t>Вхождения в государственную программу по реконструкции и реставрации  МБУК "Краеведческий музей города Пушкино Московской области"</t>
  </si>
  <si>
    <t>Принятие мер, направленных на обеспечение физической сохранности и сохранение историко-культурной ценности объектов культурного наследия. Приспособление объектов культурного наследия для современного использования</t>
  </si>
  <si>
    <t>Внесение установленных информационных надписей и обозначений в Реестр информационных надписей и обозначений на объектах культурного наледия, находящихся в собственности муниципального образования</t>
  </si>
  <si>
    <t>Основное мероприятие 11. Сохранение и популяризация объектов культурного наследия</t>
  </si>
  <si>
    <t>11.4</t>
  </si>
  <si>
    <t>Дополнительный показатель</t>
  </si>
  <si>
    <r>
      <t xml:space="preserve">Основное мероприятие 12. </t>
    </r>
    <r>
      <rPr>
        <sz val="9.5"/>
        <color indexed="8"/>
        <rFont val="Times New Roman"/>
        <family val="1"/>
      </rPr>
      <t xml:space="preserve">Модернизация материально-технической базы объектов культуры путем строительства, реконструкции, проведения капитального ремонта, технического переоснащения современным непроизводственным оборудованием и благоустройства территории муниципальных учреждений культуры, приобретение зданий для последующего размещения культурно-досуговых учреждений </t>
    </r>
  </si>
  <si>
    <r>
      <rPr>
        <b/>
        <sz val="9.5"/>
        <color indexed="8"/>
        <rFont val="Times New Roman"/>
        <family val="1"/>
      </rPr>
      <t>Основное мероприятие 13.</t>
    </r>
    <r>
      <rPr>
        <sz val="9.5"/>
        <color indexed="8"/>
        <rFont val="Times New Roman"/>
        <family val="1"/>
      </rPr>
      <t xml:space="preserve"> </t>
    </r>
    <r>
      <rPr>
        <sz val="10"/>
        <color indexed="8"/>
        <rFont val="Times New Roman"/>
        <family val="1"/>
      </rPr>
      <t>Создание и благоустройство парков культуры и отдыха в Пушкинском муниципальном районе</t>
    </r>
  </si>
  <si>
    <t xml:space="preserve">Основное мероприятие 12.  Модернизация материально-технической базы объектов культуры путем строительства, реконструкции, проведения капитального ремонта, технического переоснащения современным непроизводственным оборудованием и благоустройства территории муниципальных учреждений культуры, приобретение зданий для последующего размещения культурно-досуговых учреждений </t>
  </si>
  <si>
    <t>Соответствие парков культуры и отдыха Региональному парковому стандарту</t>
  </si>
  <si>
    <t>Основное мероприятие 13. Создание и благоустройство парков культуры и отдыха в Пушкинском муниципальном районе</t>
  </si>
  <si>
    <t>Показатель Рейтинга-50</t>
  </si>
  <si>
    <t>100 % соответствие парков культуры и отдыха Региональному парковому стандарту</t>
  </si>
  <si>
    <t>Денежные средства на реализацию данного мероприятия предусмотрены в бюджете городского поселения Пушкино (в 2017 году произведено софинансирование из бюджета Московской области и из федерального бюджета)  в рамках реализации муниципальной программы «Развитие культурного пространства города Пушкино на 2017-2021 годы»</t>
  </si>
  <si>
    <t xml:space="preserve">Всего
(тыс. руб.)
</t>
  </si>
  <si>
    <t>2.      </t>
  </si>
  <si>
    <t xml:space="preserve">X = (Снко / (Рмкмо+Рмп+Снко)) * 100%, где: </t>
  </si>
  <si>
    <t xml:space="preserve">X – доля расходов бюджета, распределяемых на конкурсной основе, от общего объема расходов, предоставляемых на реализацию проектов в сфере культуры, %; </t>
  </si>
  <si>
    <t xml:space="preserve">Снко – субсидии некоммерческим организациям, не являющимся государственными (муниципальными) учреждениями, на реализацию проектов в сфере культуры; </t>
  </si>
  <si>
    <t xml:space="preserve">Рмкмо – расходы администрации Пушкинского муниципального района на проведение мероприятий в сфере культуры; </t>
  </si>
  <si>
    <t>Рмп – расходы на проведение мероприятий муниципальными учреждениями культуры, подведомственными администрации Пушкинского муниципального района.</t>
  </si>
  <si>
    <t>Организация библиотечного обслуживания населения муниципальными библиотеками Московской области</t>
  </si>
  <si>
    <t xml:space="preserve">Форма № ЗП-культура, План финансово-хозяйственной деятельности МБУК "Межпоселенческая библиотека Пушкинского муниципального района Московской области", государственная программа Московской области "Культура Подмосковья" </t>
  </si>
  <si>
    <t>Форма № ЗП-образование, План финансово-хозяйственной деятельности учреждений дополнительного образования в сфере культуры</t>
  </si>
  <si>
    <t xml:space="preserve">Обеспечение выполнения функций муниципальных музеев Московской области </t>
  </si>
  <si>
    <t xml:space="preserve">Форма № ЗП-культура, План финансово-хозяйственной деятельности МБУК "Краеведческий музей города Пушкино Московской области", государственная программа Московской области "Культура Подмосковья" </t>
  </si>
  <si>
    <t>10.1.1</t>
  </si>
  <si>
    <t>10.1.1.1</t>
  </si>
  <si>
    <t>10.1.2</t>
  </si>
  <si>
    <t>10.1.2.1</t>
  </si>
  <si>
    <t>10.1.3</t>
  </si>
  <si>
    <t>10.1.3.1</t>
  </si>
  <si>
    <t>10.1.4</t>
  </si>
  <si>
    <t>10.1.4.1</t>
  </si>
  <si>
    <t>10.1.5</t>
  </si>
  <si>
    <t>10.1.5.1</t>
  </si>
  <si>
    <t>Обеспечение функций муниципальных учреждений культуры Московской области</t>
  </si>
  <si>
    <t xml:space="preserve">Форма № ЗП-культура, План финансово-хозяйственной деятельности  МБУК "Районный Дом культуры "Строитель", государственная программа Московской области "Культура Подмосковья" </t>
  </si>
  <si>
    <t xml:space="preserve"> Дополнительное образование, воспитание и психолого-социальное сопровождение детей</t>
  </si>
  <si>
    <t>Сохранение и популяризация объектов культурного наследия</t>
  </si>
  <si>
    <t xml:space="preserve"> Модернизация материально-технической базы объектов культуры путем строительства, реконструкции, проведения капитального ремонта, технического переоснащения современным непроизводственным оборудованием и благоустройства территории муниципальных учреждений культуры, приобретение зданий для последующего размещения культурно-досуговых учреждений </t>
  </si>
  <si>
    <t>I = Бт.г. / Б2010 х 100%, где:</t>
  </si>
  <si>
    <t>I– количество посещений организаций культуры по отношению к уровню 2010 года;</t>
  </si>
  <si>
    <t>Бт.г.  – число посещений библиотек в текущем году, ед.;</t>
  </si>
  <si>
    <t>Б2010  – число посещений библиотек в 2010 году, ед.</t>
  </si>
  <si>
    <t>Число посетителей библиотек</t>
  </si>
  <si>
    <t>Форма федерального статистического наблюдения № 6-НК «Сведения об общедоступной (публичной) библиотеке»</t>
  </si>
  <si>
    <t>Ко – количество посещений в отчетном году, тыс. чел.;</t>
  </si>
  <si>
    <t xml:space="preserve">У% = Ко / Кп  х 100%, где: </t>
  </si>
  <si>
    <t>Форма федерального статистического наблюдения № 8-НК «Сведения о деятельности музея»</t>
  </si>
  <si>
    <t>ВПо – количество выставочных проектов в отчетном году;</t>
  </si>
  <si>
    <t xml:space="preserve">Увп% = (ВПо/ВПп – 1) х 100%, где: </t>
  </si>
  <si>
    <t>I – количество посещений организаций культуры по отношению к уровню 2010 года;</t>
  </si>
  <si>
    <t>Бт.г.  –  число посещений библиотек в текущем году, ед.;</t>
  </si>
  <si>
    <t>У% – количество посещений по отношению к 2017 году;</t>
  </si>
  <si>
    <t xml:space="preserve">Кп – количество посещений в 2017 году, тыс. чел. </t>
  </si>
  <si>
    <t xml:space="preserve">Увп% – количество выставочных проектов по отношению к 2012 году; </t>
  </si>
  <si>
    <t>ВПп  – количество выставочных проектов в 2012 году.</t>
  </si>
  <si>
    <t>Форма федерального статистического наблюдения №7-НК «Сведения об организации культурно-досугового типа»</t>
  </si>
  <si>
    <t>Ежемесячно</t>
  </si>
  <si>
    <t>Мероприятие 1. Создание и благоустройство парков культуры и отдыха в Пушкинском муниципальном районе</t>
  </si>
  <si>
    <t>(М + Б + КДУ + КДФ+ ДШИ) / (М2017 + Б2017 + КДУ2017 +КДФ2017 + ДШИ2017) х 100, где:</t>
  </si>
  <si>
    <t xml:space="preserve"> М / М2017– количество посещений государственных, муниципальных и негосударственных организаций музейного типа в отчетном году / в 2017 году, тыс. человек;</t>
  </si>
  <si>
    <t>Б / Б2017– количество посещений общедоступных (публичных) библиотек, а также культурно-массовых мероприятий, проводимых в библиотеках, в отчетном году / в 2017 году, тыс. человек;</t>
  </si>
  <si>
    <t>КДУ / КДУ2017 – количество посещений платных культурно-массовых мероприятий клубов и домов культуры в отчетном году / в 2017 году, тыс. человек;</t>
  </si>
  <si>
    <t>ДШИ / ДШИ2017 – количество учащихся детских школ искусств по видам искусств и училищ в отчетном году / в 2017 году, тыс. человек.</t>
  </si>
  <si>
    <t>Формы федерального статистического наблюдения: № 6-НК «Сведения об общедоступной (публичной) библиотеке»; № 7-НК «Сведения об организации куль-турно-досугового типа»; № 8-НК «Сведения о деятельности музея»; ДШИ-1 "Сведения о детской музыкальной, художественной, хореографической школе и школе искусств"</t>
  </si>
  <si>
    <t>Ск = Зк / Дмо x 100%,  где:</t>
  </si>
  <si>
    <t>Ск - соотношение средней заработной платы работников муниципальных учреждений культуры Московской области к среднемесячному доходу от трудовой деятельности в Московской области;</t>
  </si>
  <si>
    <t>Форма федерального статистического наблюдения N ЗП-культура "Сведения о численности и оплате труда работников сферы культуры по категориям персонала", утвержденная приказом Федеральной службы государственной статистики от 07.10.2016 N 581 "Об утверждении статистического инструментария для проведения федерального статистического наблюдения в сфере оплаты труда отдельных категорий работников социальной сферы и науки, в отношении которых предусмотрены мероприятия по повышению средней заработной платы в соответствии с Указом Президента Российской Федерации от 07.05.2012 N 597"</t>
  </si>
  <si>
    <t>На основании Положения о рейтинговании парков культуры и отдыха муниципальных образований Московской области, утверждённого распоряжением Министерства культуры Московской области от 07.09.2017 № 15РВ-119, с изменениями от 20.12.2017 №15РВ-158</t>
  </si>
  <si>
    <t>Р – численное значение рейтинга парка культуры и отдыха;</t>
  </si>
  <si>
    <t>Кi– балл i-того критерия;</t>
  </si>
  <si>
    <t>Мероприятие 1. Организация работы по вовлечению в хозяйственный оборот объектов культурного наследия, находящихся в муниципальной собственности</t>
  </si>
  <si>
    <t xml:space="preserve">Мероприятие 2. Организация работ по установке информационных надписей и обозначений на объекты культурного наследия, находящихся в собственности Московской области </t>
  </si>
  <si>
    <t>Мероприятие 3. Инженерное обследование здания Краеведческого музея города Пушкино Московской области с открытием шурфов и зондажей</t>
  </si>
  <si>
    <t>Мероприятие 4. Подготовка сопроводительной документации для вхождения в государственную программу по реконструкции и реставрации МБУК "Краеведческий музей города Пушкино Московской области"</t>
  </si>
  <si>
    <t>11.5</t>
  </si>
  <si>
    <t>11.6</t>
  </si>
  <si>
    <t>11.7</t>
  </si>
  <si>
    <t>Увеличение доли объектов культурного наследия, находящихся в собственности муниципального образования, по которым проведены работы по сохранению, использованию, популяризации и государственной охране в общем количестве объектов культурного наследия, нуждающихся в указанных работах</t>
  </si>
  <si>
    <t>Количество объектов культурного наследия, находящихся находящихся в собственности муниципального образования, по которым разработана проектная документация</t>
  </si>
  <si>
    <t>Количество объектов культурного наследия, находящихся находящихся в собственности муниципального образования, по которым проведены работы по сохранению</t>
  </si>
  <si>
    <t>Общее количество объектов, на которых будет разработана научно-проектная документация в рамках действующей программы</t>
  </si>
  <si>
    <t>Общее количество объектов, на которых будут проведены производственные работы в рамках действующей программы</t>
  </si>
  <si>
    <t>M% = (D1 + D2 + D + D4) / 4, где:</t>
  </si>
  <si>
    <t>D1 = 100 - (Отр / ОКН x 100)</t>
  </si>
  <si>
    <t>D2 = 100 - (Гтр / ОКН x 100)</t>
  </si>
  <si>
    <t>D3 = 100 - (ЗОтр / ОКН x 100)</t>
  </si>
  <si>
    <t>D4 = 100 - (Удтр / ОКН x 100)</t>
  </si>
  <si>
    <t>ОКН - общее количество объектов;</t>
  </si>
  <si>
    <t>Отр - количество объектов, требующих оформления охранных обязательств;</t>
  </si>
  <si>
    <t>ГТтр - количество объектов, не обеспеченных территориями;</t>
  </si>
  <si>
    <t>Зотр - количество объектов, не обеспеченных зонами;</t>
  </si>
  <si>
    <t>Удтр - количество объектов в неудовлетворительном и аварийном состоянии</t>
  </si>
  <si>
    <t>Краеведческий музей</t>
  </si>
  <si>
    <t>Памятник Домбровскому</t>
  </si>
  <si>
    <t>Оформление охранных обязательств</t>
  </si>
  <si>
    <t>Обеспечение территорией</t>
  </si>
  <si>
    <t>Обспечение зонами</t>
  </si>
  <si>
    <t>Устранение неудовлетворительного состояния</t>
  </si>
  <si>
    <t>Уже есть</t>
  </si>
  <si>
    <t>нет</t>
  </si>
  <si>
    <t>Музей, Дача Струковых, Земская школа</t>
  </si>
  <si>
    <t>Учитываются только региональные объекты: Музей, Памятник Домбровскому</t>
  </si>
  <si>
    <t>Реестр информационных надписей и обозначений на объектах культурного наследия, находящихся в собственности муниципального образования</t>
  </si>
  <si>
    <t>По итогам 2018 года парк "Берёзова роща" набрал 26 баллов, что является 28% соответствия парковому стандарту.</t>
  </si>
  <si>
    <t>Соответствие нормативу обеспеченности парками культуры и отдыха</t>
  </si>
  <si>
    <t>Увеличение числа посетителей парков культуры и отдыха</t>
  </si>
  <si>
    <t>процент по отношению к базовому году</t>
  </si>
  <si>
    <t>Соответствие нормативной обеспеченности парками культуры и отдыха определяется по формуле:</t>
  </si>
  <si>
    <t>Форма федерального статистического наблюдения №11-НК «Сведения о работе парка культуры и отдыха (городского сада)», утверждённая приказом Федеральной службы государственной статистики от 30.12.2015 №671 «Об утверждении статистического инструментария для организации Минкультуры России Федерального статистического наблюдения за деятельностью учреждений культуры»</t>
  </si>
  <si>
    <t>Но = Фо/Нп х 100, где:</t>
  </si>
  <si>
    <t>Но – соответствие нормативной обеспеченности парками культуры и отдыха;</t>
  </si>
  <si>
    <t>Нп – нормативная потребность;</t>
  </si>
  <si>
    <t>Фо –  фактическая обеспеченность парками культуры и отдыха.</t>
  </si>
  <si>
    <t>Нормативная потребность определяется на основании распоряжения Министерства культуры Российской Федерации от 02.08.2017 № Р-965 «О введении в действие методических рекомендаций субъектам Российской Федерации и органам местного самоуправления по развитию сети организаций культуры и обеспеченности населения услугами организаций культуры».</t>
  </si>
  <si>
    <t>Увеличение числа посетителей парков культуры и отдыха определяется по формуле:</t>
  </si>
  <si>
    <t>Форма федерального статистического наблюдения №11-НК «Сведения о работе парка культуры и отдыха (городского сада)», утверждённая приказом Федеральной службы государственной статистики от 30.12.2014 №671 «Об утверждении статистического инструментария для организации Минкультуры России Федерального статистического наблюдения за деятельностью учреждений культуры»; журналы учёта работы парков</t>
  </si>
  <si>
    <t>Кпп%= Ко/Кп х 100, где:</t>
  </si>
  <si>
    <t>Кпп - количество посетителей по отношению к базовому году;</t>
  </si>
  <si>
    <t>Ко - количество посетителей в отчётном году, тыс. чел.;</t>
  </si>
  <si>
    <t>Кп - количество посетителей в базовом году, тыс. чел.</t>
  </si>
  <si>
    <t>34.</t>
  </si>
  <si>
    <t>35.</t>
  </si>
  <si>
    <t>13.2</t>
  </si>
  <si>
    <t>13.3</t>
  </si>
  <si>
    <t>n – количество критериев рейтингования.</t>
  </si>
  <si>
    <t>Согласно Парковому стандарту от 01.09.2019 26 баллов - это 35 %.</t>
  </si>
  <si>
    <t>Туристский и экскурсионный поток в Пушкинский муниципальный район</t>
  </si>
  <si>
    <t>2.2</t>
  </si>
  <si>
    <t>Численность лиц, размещённых в коллективных средствах размещения, в том числе:</t>
  </si>
  <si>
    <t>2.2.1</t>
  </si>
  <si>
    <t>Численность граждан Российской Федерации, размещённых в коллективных средствах размещения</t>
  </si>
  <si>
    <t>2.2.2</t>
  </si>
  <si>
    <t>Численность иностранных граждан, размещённых в коллективных средствах размещения</t>
  </si>
  <si>
    <t>2.3</t>
  </si>
  <si>
    <t>Объём платных туристских услуг, оказанных населению, в том числе:</t>
  </si>
  <si>
    <t>2.3.1</t>
  </si>
  <si>
    <t>2.3.2</t>
  </si>
  <si>
    <t>2.3.3</t>
  </si>
  <si>
    <t>Услуги туристических агентств, туроператоров и прочие услуги по бронированию и сопутствующие им услуги</t>
  </si>
  <si>
    <t>Услуги гостиниц и аналогичные услуги по предоставлению временного жилья</t>
  </si>
  <si>
    <t>Макропоказатель</t>
  </si>
  <si>
    <t>млн. человек</t>
  </si>
  <si>
    <t>млн. рублей</t>
  </si>
  <si>
    <t>Услуги специализированных коллективных средств размещения (санаторно-курортные организации)</t>
  </si>
  <si>
    <t>3.      </t>
  </si>
  <si>
    <t xml:space="preserve">ТЭП = Ткср + Тсв + Э, где: </t>
  </si>
  <si>
    <t xml:space="preserve">ТЭП – объём туристского и экскурсионного потока; </t>
  </si>
  <si>
    <t xml:space="preserve">Ткср – число туристов, размещённых в коллективных средствах размещения; </t>
  </si>
  <si>
    <t>Тсв – число туристов, размещённых в не коллективных средствах размещения;</t>
  </si>
  <si>
    <t>Э – число однодневных посетителей-экскурсантов.</t>
  </si>
  <si>
    <t>Территориальный орган Федеральной службы государственной статистики по Московской области (Мособлстат); экспертные оценки</t>
  </si>
  <si>
    <t>4.      </t>
  </si>
  <si>
    <t>Численность лиц, размещённых в коллективных средствах размещения</t>
  </si>
  <si>
    <t xml:space="preserve">Тр – темп роста значения показателя; </t>
  </si>
  <si>
    <t xml:space="preserve">Yn – значение показателя на конец реализации программы; </t>
  </si>
  <si>
    <t>Форма №1-КСР «Сведения о деятельности коллективного средства размещения»</t>
  </si>
  <si>
    <r>
      <t>Тр = Yn / Y</t>
    </r>
    <r>
      <rPr>
        <sz val="8"/>
        <color indexed="8"/>
        <rFont val="Times New Roman"/>
        <family val="1"/>
        <charset val="204"/>
      </rPr>
      <t>0</t>
    </r>
    <r>
      <rPr>
        <sz val="5"/>
        <color indexed="8"/>
        <rFont val="Times New Roman"/>
        <family val="1"/>
        <charset val="204"/>
      </rPr>
      <t xml:space="preserve">  </t>
    </r>
    <r>
      <rPr>
        <sz val="10"/>
        <color indexed="8"/>
        <rFont val="Times New Roman"/>
        <family val="1"/>
        <charset val="204"/>
      </rPr>
      <t>x 100 %</t>
    </r>
    <r>
      <rPr>
        <sz val="10"/>
        <color indexed="8"/>
        <rFont val="Times New Roman"/>
        <family val="1"/>
      </rPr>
      <t xml:space="preserve">, где: </t>
    </r>
  </si>
  <si>
    <r>
      <t>Y</t>
    </r>
    <r>
      <rPr>
        <sz val="8"/>
        <color indexed="8"/>
        <rFont val="Times New Roman"/>
        <family val="1"/>
        <charset val="204"/>
      </rPr>
      <t>0</t>
    </r>
    <r>
      <rPr>
        <sz val="10"/>
        <color indexed="8"/>
        <rFont val="Times New Roman"/>
        <family val="1"/>
      </rPr>
      <t xml:space="preserve"> – базовое значение показателя.</t>
    </r>
  </si>
  <si>
    <t>5.      </t>
  </si>
  <si>
    <t>Форма №1-услуги "Сведения о деятельности коллективного средства размещения"</t>
  </si>
  <si>
    <t>36.</t>
  </si>
  <si>
    <t>37.</t>
  </si>
  <si>
    <t>Доля муниципальных библиотек, соответствующих Требованиям к условиям деятельности библиотек Московской области (стандарту)</t>
  </si>
  <si>
    <t>Количество информационных надписей, установленных на объектах культурного наследия, находящихся в собственности муниципального образования</t>
  </si>
  <si>
    <t>Отдел социальной политики, культуры и туризма Управления развития отраслей социальной сферы</t>
  </si>
  <si>
    <t xml:space="preserve">Отдел социальной политики,  культуры и туризма Управления развития отраслей социальной сферы,
МБУК "Межпоселенческая библиотека Пушкинского муниципального района Московской области"
</t>
  </si>
  <si>
    <t xml:space="preserve">Отдел социальной политики, культуры и туризма Управления развития отраслей социальной сферы,
МБУК "Межпоселенческая библиотека Пушкинского муниципального района Московской области"
</t>
  </si>
  <si>
    <t>Отдел социальной политики, культуры и туризма Управления развития отраслей социальной сферы,  МБУК "Краеведческий музей города Пушкино Московской области"</t>
  </si>
  <si>
    <t>Отдел социальной политики, культуры и туризма Управления развития отраслей социальной сферы,  МБУК "Районный Дом культуры "Строитель"</t>
  </si>
  <si>
    <t>Отдел социальной политики, культуры и туризма Управления  развития отраслей социальной сферы</t>
  </si>
  <si>
    <t>Отдел социальной политики, культуры и туризма Управления  развития отраслей социальной сферы, МБУДО "Пушкинская детская музыкальная школа № 1"</t>
  </si>
  <si>
    <t>Отдел социальной политики, культуры и туризма Управления  развития отраслей социальной сферы, МБУДО "Пушкинская детская музыкальная школа № 2"</t>
  </si>
  <si>
    <t>Отдел социальной политики, культуры и туризма Управления  развития отраслей социальной сферы, МБУДО "Софринская детская музыкальная школа"</t>
  </si>
  <si>
    <t>Отдел социальной политики, культуры и туризма Управления  развития отраслей социальной сферы, МБУДО "Софринская детская музыкальная школа № 2"</t>
  </si>
  <si>
    <t>Отдел социальной политики, культуры и туризма Управления  развития отраслей социальной сферы, МБУДО "Детская музыкальная школа пос. Лесные Поляны"</t>
  </si>
  <si>
    <t>Отдел социальной политики, культуры и туризма Управления  развития отраслей социальной сферы, МБУДО "Пушкинская детская художественная школа"</t>
  </si>
  <si>
    <t>Отдел социальной политики, культуры и туризма Управления развития отраслей социальной сферы, муниципальные бюджетные учреждения дополнительного образования в сфере культуры</t>
  </si>
  <si>
    <t>Отдел социальной политики, культуры и туризма  Управления развития отраслей социальной сферы</t>
  </si>
  <si>
    <t xml:space="preserve">Отдел социальной политики, культуры и туризма Управления  развития отраслей социальной сферы        </t>
  </si>
  <si>
    <t>Отдел социальной политики, культуры и туризма Управления  развития отраслей социальной сферы, МБУК "Краеведческий музей города Пушкино Московской области"</t>
  </si>
  <si>
    <t>12.2</t>
  </si>
  <si>
    <t>Количество созданных (реконструированных) и капитально отремонтированных объектов организаций культуры  (нарастающим итогом)</t>
  </si>
  <si>
    <t>10.3</t>
  </si>
  <si>
    <t>Количество организаций культуры, получивших современное оборудование (нарастающим итогом)</t>
  </si>
  <si>
    <t>Оснащены образовательные учреждения в сфере культуры (детские школы искусств по видам искусств и училищ) музыкальными инструментами, оборудованием и учебными материалами</t>
  </si>
  <si>
    <t>Указ Президента РФ от 07.05.2018 № 204</t>
  </si>
  <si>
    <t xml:space="preserve">Количество  оснащенных необходимыми музыкальными инструментами образовательных организаций сферы культуры
в рамках реализации госпрограммы Московской области «Образование Подмосковья» на 2017-2025 годы
</t>
  </si>
  <si>
    <t xml:space="preserve">Отраслевой показатель:
количество  оснащенных образовательных учреждений в сфере культуры  (детские школы искусств и училища) музыкальными инструментами, оборудованием и учебными материалами в рамках реализации госпрограммы Московской области «Образование Подмосковья» на 2017-2025 годы
</t>
  </si>
  <si>
    <t>38.</t>
  </si>
  <si>
    <t>39.</t>
  </si>
  <si>
    <t xml:space="preserve">ДШИиУ2017 + КЗ2017 + АК2017 + Бм2017 - расчет базового показателя за 2017 год, где:
ДШИиУ2017 – количество детских школ искусств и училищ, получивших музыкальные инструменты, оборудование и материалы в 2017 году;
КЗ2017 – количество кинозалов, получивших современное оборудование в 2017 году;
АК2017 – количество организаций культуры, получивших специализированный автотранспорт в 2017 году;
Бм2017 – количество муниципальных библиотек, получивших современное оборудование в 2017 году.
(ДШИиУ2017 + КЗ2017 + АК2017 + Бм2017) + (∆ДШИиУ2019 + ∆КЗ2019 + ∆АК2019  + ∆Бм2019) = расчёт показателя за 2019 год,
где:
∆ДШИиУ2019  – количество детских школ искусств и училищ, получивших музыкальные инструменты, оборудование и материалы в текущем году;
∆КЗ2019 – количество кинозалов, получивших оборудование в текущем году;
∆АК2019 – количество организаций культуры, получивших специализированный автотранспорт в текущем году;
∆Бм2019 – количество муниципальных библиотек, получивших современное оборудование в текущем году.
</t>
  </si>
  <si>
    <t xml:space="preserve">БМ2017 + КДУс2017 + Тд2017 + ЦКР2017 - расчет базового показателя за 2017 год, где:
Бм2017 – количество муниципальных библиотек, построенных, реконструированных и отремонтированных в 2017 году;
КДУс2017  –  количество клубно-досуговых учреждений в сельской местности построенных, реконструированных и отремонтированных в 2017 году;
Тд2017 – количество театров юного зрителя и театров кукол, построенных, реконструированных и отремонтированных в 2017 году;
ЦКР2017 – количество центров культурного развития, построенных, реконструированных и отремонтированных в 2017 году.
(Бм2017 + КДУс2017 + Тд2017 + ЦКР2017) + (∆Бм2019 + ∆КДУс2019 + ∆Тд2019  + ∆ЦКР2019) = расчёт показателя за 2019 год,
где:
∆Бм2019 –  количество муниципальных библиотек построенных, реконструированных и отремонтированных в отчетном году;
∆КДУс2019  –  количество клубно-досуговых учреждений в сельской местности, построенных, реконструированных и отремонтированных в отчетном году;
∆Тд2019 – количество театров юного зрителя и театров кукол, построенных, реконструированных и отремонтированных в отчетном году;
∆ЦКР2019 –  количество центров культурного развития, построенных, реконструированных и отремонтированных в отчетном году.
</t>
  </si>
  <si>
    <t>Основное мероприятие 9. Дополнительное образование, воспитание и психолого-социальное сопровождение детей</t>
  </si>
  <si>
    <t>Комплексное развитие культурного потенциала, сохранение культурного наследия, гармонизация культурной жизни и повышение качества туристической сферы в Пушкинском муниципальном районе</t>
  </si>
  <si>
    <t>Увеличение числа посещений организаций культуры</t>
  </si>
  <si>
    <t xml:space="preserve">Зарплата бюджетников - Соотношение  средней заработной платы работников учреждений культуры к среднемесячной начисленной заработной плате наемных работников в организациях, у индивидуальных предпринимателей и физических лиц (среднемесячному доходу от трудовой деятельности) в Московской области </t>
  </si>
  <si>
    <t>Объём платных туристских услуг, оказанных населению</t>
  </si>
  <si>
    <t>Показатель рассчитывается на основании фактического количества  муниципальных общедоступных библиотек, внедривших стандарты деятельности библиотеки нового формата</t>
  </si>
  <si>
    <t>2021 год - здание Краеведческого музея</t>
  </si>
  <si>
    <t>2020 год - здание Краеведческого музея</t>
  </si>
  <si>
    <t>Количество информационых надписей, установленных на объектах культурного наследия, находящихся в собственности муниципального образования</t>
  </si>
  <si>
    <t>Рассчитывается исходя из количества объектов, находящихся в собственности муниципального образования (за исключением выявленных объектов культурного наследия)</t>
  </si>
  <si>
    <t>2017-2018 годы</t>
  </si>
  <si>
    <t>В 2017 году: ПДМШ 1 - музыкальные инструменты, Библиотека - RFID оборудование. В 2019 году: ПДМШ 1 - музыкальные инструменты, СДМШ - музыкальные инструменты</t>
  </si>
  <si>
    <t>3.5</t>
  </si>
  <si>
    <t>****- показатель оценивается начиная с  2019 года</t>
  </si>
  <si>
    <t>****</t>
  </si>
  <si>
    <t>***- показатель оценивается в 2019 году</t>
  </si>
  <si>
    <t>40.</t>
  </si>
  <si>
    <t>9.2.</t>
  </si>
  <si>
    <t xml:space="preserve">Мероприятие 2. Обеспечение деятельности МБУДО "Пушкинская детская музыкальная школа №2"        </t>
  </si>
  <si>
    <t>Мероприятие 3. Обеспечение деятельности МБУДО "Софринская детская музыкальная школа"</t>
  </si>
  <si>
    <t>9.4.</t>
  </si>
  <si>
    <t>Мероприятие 4.  Обеспечение деятельности МБУДО "Софринская детская музыкальная школа № 2"</t>
  </si>
  <si>
    <t>Мероприятие 5.  Обеспечение деятельности МБУДО "Детская музыкальная школа пос. Лесные Поляны"</t>
  </si>
  <si>
    <t>9.6.</t>
  </si>
  <si>
    <t>Мероприятие 6.  Обеспечение деятельности МБУДО "Пушкинская детская художественная школа"</t>
  </si>
  <si>
    <t>Мероприятие 7.  Предоставление субсидии бюджетам муниципальных образований Московской области на мероприятия по приобретению музыкальных инструментов для оснащения муниципальных учреждений дополнительного образования сферы культуры Московской области в 2019-2023 гг.</t>
  </si>
  <si>
    <t>Мероприятие 8. Мероприятия по выявлению талантливых детей и молодежи, в том числе обучающихся в организациях дополнительного образования сферы культуры</t>
  </si>
  <si>
    <t>Мероприятие 5. Государственная поддержка лучших работников сельских учреждений культуры</t>
  </si>
  <si>
    <t>Количество посещений организаций культуры по отношению к уровню 2010 года</t>
  </si>
  <si>
    <r>
      <t xml:space="preserve">Приложение к постановлению администрации 
Пушкинского муниципального района 
</t>
    </r>
    <r>
      <rPr>
        <i/>
        <sz val="10"/>
        <color indexed="8"/>
        <rFont val="Arial"/>
        <family val="2"/>
        <charset val="204"/>
      </rPr>
      <t>от "12" сентября 2019  № _1156__</t>
    </r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</si>
</sst>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.000"/>
  </numFmts>
  <fonts count="30">
    <font>
      <sz val="11"/>
      <color theme="1"/>
      <name val="Calibri"/>
      <family val="2"/>
      <charset val="204"/>
      <scheme val="minor"/>
    </font>
    <font>
      <sz val="9.5"/>
      <color indexed="8"/>
      <name val="Times New Roman"/>
      <family val="1"/>
    </font>
    <font>
      <sz val="10"/>
      <color indexed="8"/>
      <name val="Times New Roman"/>
      <family val="1"/>
    </font>
    <font>
      <b/>
      <sz val="9.5"/>
      <color indexed="8"/>
      <name val="Times New Roman"/>
      <family val="1"/>
    </font>
    <font>
      <sz val="10"/>
      <name val="Times New Roman"/>
      <family val="1"/>
    </font>
    <font>
      <sz val="8"/>
      <name val="Calibri"/>
      <family val="2"/>
    </font>
    <font>
      <sz val="10"/>
      <color indexed="8"/>
      <name val="Times New Roman"/>
      <family val="1"/>
      <charset val="204"/>
    </font>
    <font>
      <sz val="9.5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5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sz val="9.5"/>
      <color rgb="FF000000"/>
      <name val="Times New Roman"/>
      <family val="1"/>
    </font>
    <font>
      <sz val="8"/>
      <color theme="1"/>
      <name val="Times New Roman"/>
      <family val="1"/>
    </font>
    <font>
      <i/>
      <sz val="10"/>
      <color theme="1"/>
      <name val="Arial"/>
      <family val="2"/>
    </font>
    <font>
      <sz val="14"/>
      <color theme="1"/>
      <name val="Times New Roman"/>
      <family val="1"/>
    </font>
    <font>
      <b/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9.5"/>
      <color theme="1"/>
      <name val="Times New Roman"/>
      <family val="1"/>
    </font>
    <font>
      <b/>
      <sz val="9.5"/>
      <color rgb="FF000000"/>
      <name val="Times New Roman"/>
      <family val="1"/>
    </font>
    <font>
      <sz val="9.5"/>
      <color theme="1"/>
      <name val="Times New Roman"/>
      <family val="1"/>
      <charset val="204"/>
    </font>
    <font>
      <b/>
      <sz val="9.5"/>
      <color theme="1"/>
      <name val="Times New Roman"/>
      <family val="1"/>
    </font>
    <font>
      <sz val="12"/>
      <color rgb="FF000000"/>
      <name val="Times New Roman"/>
      <family val="1"/>
    </font>
    <font>
      <sz val="9.5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237">
    <xf numFmtId="0" fontId="0" fillId="0" borderId="0" xfId="0"/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justify"/>
    </xf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4" fontId="15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3" fillId="0" borderId="0" xfId="0" applyFont="1"/>
    <xf numFmtId="0" fontId="13" fillId="0" borderId="0" xfId="0" applyFont="1" applyFill="1"/>
    <xf numFmtId="0" fontId="17" fillId="0" borderId="0" xfId="0" applyFont="1" applyAlignment="1">
      <alignment horizontal="justify"/>
    </xf>
    <xf numFmtId="0" fontId="14" fillId="0" borderId="0" xfId="0" applyFont="1" applyAlignment="1"/>
    <xf numFmtId="4" fontId="13" fillId="0" borderId="0" xfId="0" applyNumberFormat="1" applyFont="1" applyFill="1"/>
    <xf numFmtId="0" fontId="18" fillId="0" borderId="0" xfId="0" applyFont="1" applyAlignment="1">
      <alignment vertical="top" wrapText="1"/>
    </xf>
    <xf numFmtId="0" fontId="15" fillId="0" borderId="1" xfId="0" applyFont="1" applyBorder="1" applyAlignment="1">
      <alignment vertical="top" wrapText="1"/>
    </xf>
    <xf numFmtId="0" fontId="14" fillId="0" borderId="0" xfId="0" applyFont="1" applyAlignment="1">
      <alignment horizontal="center"/>
    </xf>
    <xf numFmtId="0" fontId="13" fillId="0" borderId="0" xfId="0" applyFont="1" applyAlignment="1"/>
    <xf numFmtId="0" fontId="0" fillId="0" borderId="0" xfId="0" applyAlignment="1">
      <alignment vertical="center"/>
    </xf>
    <xf numFmtId="0" fontId="15" fillId="0" borderId="0" xfId="0" applyFont="1"/>
    <xf numFmtId="0" fontId="19" fillId="0" borderId="0" xfId="0" applyFont="1"/>
    <xf numFmtId="0" fontId="15" fillId="0" borderId="0" xfId="0" applyFont="1" applyAlignment="1">
      <alignment horizontal="justify"/>
    </xf>
    <xf numFmtId="0" fontId="15" fillId="0" borderId="0" xfId="0" applyFont="1" applyBorder="1" applyAlignment="1">
      <alignment vertical="top" wrapText="1"/>
    </xf>
    <xf numFmtId="0" fontId="15" fillId="0" borderId="0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4" fontId="20" fillId="0" borderId="0" xfId="0" applyNumberFormat="1" applyFont="1" applyFill="1" applyBorder="1" applyAlignment="1">
      <alignment horizontal="left" vertical="top" wrapText="1"/>
    </xf>
    <xf numFmtId="0" fontId="20" fillId="0" borderId="3" xfId="0" applyFont="1" applyBorder="1" applyAlignment="1">
      <alignment vertical="top" wrapText="1"/>
    </xf>
    <xf numFmtId="4" fontId="20" fillId="0" borderId="4" xfId="0" applyNumberFormat="1" applyFont="1" applyFill="1" applyBorder="1" applyAlignment="1">
      <alignment horizontal="left" vertical="top" wrapText="1"/>
    </xf>
    <xf numFmtId="0" fontId="15" fillId="0" borderId="5" xfId="0" applyFont="1" applyBorder="1" applyAlignment="1">
      <alignment vertical="top" wrapText="1"/>
    </xf>
    <xf numFmtId="4" fontId="15" fillId="0" borderId="6" xfId="0" applyNumberFormat="1" applyFont="1" applyFill="1" applyBorder="1" applyAlignment="1">
      <alignment horizontal="left" vertical="top" wrapText="1"/>
    </xf>
    <xf numFmtId="0" fontId="15" fillId="0" borderId="7" xfId="0" applyFont="1" applyBorder="1" applyAlignment="1">
      <alignment vertical="top" wrapText="1"/>
    </xf>
    <xf numFmtId="4" fontId="15" fillId="0" borderId="8" xfId="0" applyNumberFormat="1" applyFont="1" applyFill="1" applyBorder="1" applyAlignment="1">
      <alignment horizontal="left" vertical="top" wrapText="1"/>
    </xf>
    <xf numFmtId="0" fontId="20" fillId="0" borderId="0" xfId="0" applyFont="1" applyBorder="1" applyAlignment="1">
      <alignment horizontal="left" vertical="top" wrapText="1"/>
    </xf>
    <xf numFmtId="0" fontId="20" fillId="0" borderId="3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20" fillId="0" borderId="0" xfId="0" applyFont="1" applyAlignment="1">
      <alignment horizontal="center"/>
    </xf>
    <xf numFmtId="0" fontId="15" fillId="0" borderId="9" xfId="0" applyFont="1" applyBorder="1" applyAlignment="1">
      <alignment vertical="top" wrapText="1"/>
    </xf>
    <xf numFmtId="0" fontId="15" fillId="0" borderId="10" xfId="0" applyFont="1" applyBorder="1" applyAlignment="1">
      <alignment vertical="top" wrapText="1"/>
    </xf>
    <xf numFmtId="0" fontId="15" fillId="0" borderId="11" xfId="0" applyFont="1" applyBorder="1" applyAlignment="1">
      <alignment vertical="top" wrapText="1"/>
    </xf>
    <xf numFmtId="0" fontId="21" fillId="0" borderId="0" xfId="0" applyFont="1" applyAlignment="1">
      <alignment horizontal="right"/>
    </xf>
    <xf numFmtId="16" fontId="15" fillId="0" borderId="1" xfId="0" applyNumberFormat="1" applyFont="1" applyBorder="1" applyAlignment="1">
      <alignment horizontal="center" vertical="top" wrapText="1"/>
    </xf>
    <xf numFmtId="0" fontId="15" fillId="0" borderId="0" xfId="0" applyFont="1" applyBorder="1" applyAlignment="1">
      <alignment horizontal="justify" vertical="top" wrapText="1"/>
    </xf>
    <xf numFmtId="0" fontId="15" fillId="0" borderId="11" xfId="0" applyFont="1" applyBorder="1" applyAlignment="1">
      <alignment horizontal="justify" vertical="top" wrapText="1"/>
    </xf>
    <xf numFmtId="0" fontId="15" fillId="0" borderId="9" xfId="0" applyFont="1" applyBorder="1" applyAlignment="1">
      <alignment horizontal="justify" vertical="top" wrapText="1"/>
    </xf>
    <xf numFmtId="0" fontId="15" fillId="0" borderId="10" xfId="0" applyFont="1" applyBorder="1" applyAlignment="1">
      <alignment horizontal="justify" vertical="top" wrapText="1"/>
    </xf>
    <xf numFmtId="0" fontId="15" fillId="0" borderId="1" xfId="0" applyFont="1" applyBorder="1" applyAlignment="1">
      <alignment vertical="top" wrapText="1"/>
    </xf>
    <xf numFmtId="0" fontId="15" fillId="0" borderId="9" xfId="0" applyFont="1" applyBorder="1" applyAlignment="1">
      <alignment horizontal="center" vertical="top" wrapText="1"/>
    </xf>
    <xf numFmtId="0" fontId="15" fillId="0" borderId="9" xfId="0" applyFont="1" applyBorder="1" applyAlignment="1">
      <alignment vertical="top" wrapText="1"/>
    </xf>
    <xf numFmtId="0" fontId="15" fillId="0" borderId="11" xfId="0" applyFont="1" applyBorder="1" applyAlignment="1">
      <alignment vertical="top" wrapText="1"/>
    </xf>
    <xf numFmtId="0" fontId="13" fillId="0" borderId="0" xfId="0" applyNumberFormat="1" applyFont="1"/>
    <xf numFmtId="0" fontId="20" fillId="0" borderId="12" xfId="0" applyFont="1" applyBorder="1" applyAlignment="1">
      <alignment vertical="top" wrapText="1"/>
    </xf>
    <xf numFmtId="0" fontId="15" fillId="0" borderId="2" xfId="0" applyFont="1" applyBorder="1" applyAlignment="1">
      <alignment vertical="top" wrapText="1"/>
    </xf>
    <xf numFmtId="0" fontId="15" fillId="0" borderId="9" xfId="0" applyFont="1" applyBorder="1" applyAlignment="1">
      <alignment vertical="top" wrapText="1"/>
    </xf>
    <xf numFmtId="49" fontId="22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top" wrapText="1"/>
    </xf>
    <xf numFmtId="0" fontId="16" fillId="0" borderId="1" xfId="0" applyNumberFormat="1" applyFont="1" applyFill="1" applyBorder="1" applyAlignment="1">
      <alignment horizontal="center" vertical="center" wrapText="1"/>
    </xf>
    <xf numFmtId="0" fontId="15" fillId="0" borderId="9" xfId="0" applyFont="1" applyBorder="1" applyAlignment="1">
      <alignment horizontal="justify" vertical="top" wrapText="1"/>
    </xf>
    <xf numFmtId="0" fontId="15" fillId="0" borderId="12" xfId="0" applyFont="1" applyBorder="1" applyAlignment="1">
      <alignment horizontal="justify" vertical="top" wrapText="1"/>
    </xf>
    <xf numFmtId="0" fontId="13" fillId="0" borderId="0" xfId="0" applyFont="1" applyAlignment="1">
      <alignment vertical="center"/>
    </xf>
    <xf numFmtId="0" fontId="15" fillId="0" borderId="11" xfId="0" applyFont="1" applyBorder="1" applyAlignment="1">
      <alignment horizontal="justify" vertical="top" wrapText="1"/>
    </xf>
    <xf numFmtId="0" fontId="0" fillId="0" borderId="0" xfId="0" applyFill="1"/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justify" vertical="top" wrapText="1"/>
    </xf>
    <xf numFmtId="4" fontId="13" fillId="0" borderId="0" xfId="0" applyNumberFormat="1" applyFont="1"/>
    <xf numFmtId="0" fontId="15" fillId="0" borderId="1" xfId="0" applyFont="1" applyBorder="1" applyAlignment="1">
      <alignment vertical="top" wrapText="1"/>
    </xf>
    <xf numFmtId="0" fontId="15" fillId="0" borderId="2" xfId="0" applyFont="1" applyBorder="1" applyAlignment="1">
      <alignment horizontal="justify" vertical="top" wrapText="1"/>
    </xf>
    <xf numFmtId="4" fontId="16" fillId="0" borderId="1" xfId="0" applyNumberFormat="1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justify" vertical="top" wrapText="1"/>
    </xf>
    <xf numFmtId="0" fontId="15" fillId="0" borderId="10" xfId="0" applyFont="1" applyFill="1" applyBorder="1" applyAlignment="1">
      <alignment vertical="top" wrapText="1"/>
    </xf>
    <xf numFmtId="0" fontId="15" fillId="0" borderId="11" xfId="0" applyFont="1" applyFill="1" applyBorder="1" applyAlignment="1">
      <alignment vertical="top" wrapText="1"/>
    </xf>
    <xf numFmtId="0" fontId="22" fillId="0" borderId="1" xfId="0" applyFont="1" applyFill="1" applyBorder="1" applyAlignment="1">
      <alignment vertical="top" wrapText="1"/>
    </xf>
    <xf numFmtId="3" fontId="22" fillId="0" borderId="1" xfId="0" applyNumberFormat="1" applyFont="1" applyFill="1" applyBorder="1" applyAlignment="1">
      <alignment horizontal="center" vertical="center" wrapText="1"/>
    </xf>
    <xf numFmtId="164" fontId="22" fillId="0" borderId="1" xfId="0" applyNumberFormat="1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vertical="top" wrapText="1"/>
    </xf>
    <xf numFmtId="0" fontId="24" fillId="0" borderId="1" xfId="0" applyFont="1" applyFill="1" applyBorder="1" applyAlignment="1">
      <alignment horizontal="center" vertical="center" wrapText="1"/>
    </xf>
    <xf numFmtId="4" fontId="24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5" fillId="0" borderId="9" xfId="0" applyFont="1" applyFill="1" applyBorder="1" applyAlignment="1">
      <alignment vertical="top" wrapText="1"/>
    </xf>
    <xf numFmtId="0" fontId="15" fillId="0" borderId="10" xfId="0" applyFont="1" applyBorder="1" applyAlignment="1">
      <alignment vertical="top" wrapText="1"/>
    </xf>
    <xf numFmtId="0" fontId="15" fillId="0" borderId="11" xfId="0" applyFont="1" applyBorder="1" applyAlignment="1">
      <alignment vertical="top" wrapText="1"/>
    </xf>
    <xf numFmtId="0" fontId="13" fillId="0" borderId="0" xfId="0" applyFont="1" applyAlignment="1">
      <alignment vertical="center"/>
    </xf>
    <xf numFmtId="0" fontId="15" fillId="0" borderId="1" xfId="0" applyFont="1" applyBorder="1" applyAlignment="1">
      <alignment vertical="top" wrapText="1"/>
    </xf>
    <xf numFmtId="0" fontId="15" fillId="0" borderId="1" xfId="0" applyFont="1" applyFill="1" applyBorder="1" applyAlignment="1">
      <alignment vertical="top" wrapText="1"/>
    </xf>
    <xf numFmtId="0" fontId="15" fillId="0" borderId="9" xfId="0" applyFont="1" applyBorder="1" applyAlignment="1">
      <alignment vertical="top" wrapText="1"/>
    </xf>
    <xf numFmtId="0" fontId="15" fillId="0" borderId="10" xfId="0" applyFont="1" applyBorder="1" applyAlignment="1">
      <alignment vertical="top" wrapText="1"/>
    </xf>
    <xf numFmtId="0" fontId="15" fillId="0" borderId="1" xfId="0" applyFont="1" applyBorder="1" applyAlignment="1">
      <alignment horizontal="justify" vertical="top" wrapText="1"/>
    </xf>
    <xf numFmtId="0" fontId="13" fillId="0" borderId="0" xfId="0" applyFont="1" applyAlignment="1">
      <alignment vertical="center"/>
    </xf>
    <xf numFmtId="0" fontId="22" fillId="0" borderId="13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top" wrapText="1"/>
    </xf>
    <xf numFmtId="0" fontId="15" fillId="0" borderId="1" xfId="0" applyFont="1" applyFill="1" applyBorder="1" applyAlignment="1">
      <alignment vertical="top" wrapText="1"/>
    </xf>
    <xf numFmtId="0" fontId="15" fillId="0" borderId="10" xfId="0" applyFont="1" applyBorder="1" applyAlignment="1">
      <alignment vertical="top" wrapText="1"/>
    </xf>
    <xf numFmtId="0" fontId="15" fillId="2" borderId="11" xfId="0" applyFont="1" applyFill="1" applyBorder="1" applyAlignment="1">
      <alignment vertical="top" wrapText="1"/>
    </xf>
    <xf numFmtId="165" fontId="22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top" wrapText="1"/>
    </xf>
    <xf numFmtId="0" fontId="23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14" fillId="0" borderId="0" xfId="0" applyNumberFormat="1" applyFont="1" applyFill="1" applyAlignment="1">
      <alignment horizontal="justify"/>
    </xf>
    <xf numFmtId="0" fontId="0" fillId="0" borderId="0" xfId="0" applyFill="1" applyAlignment="1">
      <alignment vertical="center"/>
    </xf>
    <xf numFmtId="0" fontId="22" fillId="0" borderId="1" xfId="0" applyFont="1" applyFill="1" applyBorder="1" applyAlignment="1">
      <alignment horizontal="center" vertical="top" wrapText="1"/>
    </xf>
    <xf numFmtId="49" fontId="22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center" wrapText="1"/>
    </xf>
    <xf numFmtId="0" fontId="22" fillId="0" borderId="1" xfId="0" applyNumberFormat="1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vertical="top" wrapText="1"/>
    </xf>
    <xf numFmtId="49" fontId="0" fillId="0" borderId="0" xfId="0" applyNumberFormat="1" applyFill="1"/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vertical="center"/>
    </xf>
    <xf numFmtId="0" fontId="14" fillId="0" borderId="2" xfId="0" applyFont="1" applyFill="1" applyBorder="1" applyAlignment="1">
      <alignment horizontal="center"/>
    </xf>
    <xf numFmtId="0" fontId="14" fillId="0" borderId="2" xfId="0" applyFont="1" applyFill="1" applyBorder="1" applyAlignment="1"/>
    <xf numFmtId="0" fontId="1" fillId="0" borderId="1" xfId="0" applyFont="1" applyFill="1" applyBorder="1" applyAlignment="1">
      <alignment horizontal="center" vertical="center" wrapText="1"/>
    </xf>
    <xf numFmtId="0" fontId="15" fillId="0" borderId="0" xfId="0" applyFont="1" applyFill="1"/>
    <xf numFmtId="4" fontId="13" fillId="0" borderId="0" xfId="0" applyNumberFormat="1" applyFont="1" applyFill="1" applyAlignment="1">
      <alignment vertical="center"/>
    </xf>
    <xf numFmtId="49" fontId="13" fillId="0" borderId="0" xfId="0" applyNumberFormat="1" applyFont="1" applyFill="1" applyAlignment="1">
      <alignment vertical="center"/>
    </xf>
    <xf numFmtId="0" fontId="15" fillId="0" borderId="9" xfId="0" applyFont="1" applyBorder="1" applyAlignment="1">
      <alignment vertical="top" wrapText="1"/>
    </xf>
    <xf numFmtId="0" fontId="15" fillId="0" borderId="10" xfId="0" applyFont="1" applyBorder="1" applyAlignment="1">
      <alignment vertical="top" wrapText="1"/>
    </xf>
    <xf numFmtId="0" fontId="15" fillId="0" borderId="11" xfId="0" applyFont="1" applyBorder="1" applyAlignment="1">
      <alignment vertical="top" wrapText="1"/>
    </xf>
    <xf numFmtId="0" fontId="22" fillId="0" borderId="1" xfId="0" applyFont="1" applyFill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vertical="top" wrapText="1"/>
    </xf>
    <xf numFmtId="0" fontId="22" fillId="0" borderId="1" xfId="0" applyFont="1" applyFill="1" applyBorder="1" applyAlignment="1">
      <alignment horizontal="center" vertical="center" wrapText="1"/>
    </xf>
    <xf numFmtId="0" fontId="15" fillId="0" borderId="9" xfId="0" applyFont="1" applyBorder="1" applyAlignment="1">
      <alignment vertical="top" wrapText="1"/>
    </xf>
    <xf numFmtId="0" fontId="15" fillId="0" borderId="10" xfId="0" applyFont="1" applyBorder="1" applyAlignment="1">
      <alignment vertical="top" wrapText="1"/>
    </xf>
    <xf numFmtId="0" fontId="15" fillId="0" borderId="11" xfId="0" applyFont="1" applyBorder="1" applyAlignment="1">
      <alignment vertical="top" wrapText="1"/>
    </xf>
    <xf numFmtId="0" fontId="15" fillId="0" borderId="1" xfId="0" applyFont="1" applyFill="1" applyBorder="1" applyAlignment="1">
      <alignment vertical="top" wrapText="1"/>
    </xf>
    <xf numFmtId="0" fontId="22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left" vertical="top" wrapText="1"/>
    </xf>
    <xf numFmtId="166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top" wrapText="1"/>
    </xf>
    <xf numFmtId="0" fontId="22" fillId="0" borderId="1" xfId="0" applyFont="1" applyFill="1" applyBorder="1" applyAlignment="1">
      <alignment horizontal="center" vertical="center" wrapText="1"/>
    </xf>
    <xf numFmtId="0" fontId="15" fillId="0" borderId="10" xfId="0" applyFont="1" applyBorder="1" applyAlignment="1">
      <alignment vertical="top" wrapText="1"/>
    </xf>
    <xf numFmtId="0" fontId="15" fillId="0" borderId="1" xfId="0" applyFont="1" applyFill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0" fontId="22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15" fillId="0" borderId="9" xfId="0" applyFont="1" applyBorder="1" applyAlignment="1">
      <alignment vertical="top" wrapText="1"/>
    </xf>
    <xf numFmtId="0" fontId="15" fillId="0" borderId="1" xfId="0" applyFont="1" applyBorder="1" applyAlignment="1">
      <alignment horizontal="justify" vertical="top" wrapText="1"/>
    </xf>
    <xf numFmtId="0" fontId="15" fillId="0" borderId="1" xfId="0" applyFont="1" applyFill="1" applyBorder="1" applyAlignment="1">
      <alignment vertical="top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13" fillId="0" borderId="0" xfId="0" applyFont="1" applyAlignment="1">
      <alignment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right" vertical="top" wrapText="1"/>
    </xf>
    <xf numFmtId="0" fontId="15" fillId="0" borderId="1" xfId="0" applyFont="1" applyBorder="1" applyAlignment="1">
      <alignment vertical="top" wrapText="1"/>
    </xf>
    <xf numFmtId="0" fontId="14" fillId="0" borderId="0" xfId="0" applyFont="1" applyAlignment="1">
      <alignment horizontal="center"/>
    </xf>
    <xf numFmtId="0" fontId="0" fillId="0" borderId="0" xfId="0" applyAlignment="1"/>
    <xf numFmtId="0" fontId="22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/>
    <xf numFmtId="0" fontId="0" fillId="0" borderId="1" xfId="0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vertical="center" wrapText="1"/>
    </xf>
    <xf numFmtId="49" fontId="16" fillId="0" borderId="9" xfId="0" applyNumberFormat="1" applyFont="1" applyFill="1" applyBorder="1" applyAlignment="1">
      <alignment horizontal="center" vertical="center" wrapText="1"/>
    </xf>
    <xf numFmtId="49" fontId="16" fillId="0" borderId="10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right"/>
    </xf>
    <xf numFmtId="0" fontId="13" fillId="0" borderId="0" xfId="0" applyFont="1" applyFill="1" applyAlignment="1"/>
    <xf numFmtId="0" fontId="26" fillId="0" borderId="0" xfId="0" applyFont="1" applyFill="1" applyAlignment="1">
      <alignment horizontal="center"/>
    </xf>
    <xf numFmtId="0" fontId="14" fillId="0" borderId="0" xfId="0" applyFont="1" applyFill="1" applyAlignment="1"/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Border="1" applyAlignment="1"/>
    <xf numFmtId="0" fontId="23" fillId="0" borderId="1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left" vertical="top" wrapText="1"/>
    </xf>
    <xf numFmtId="0" fontId="22" fillId="0" borderId="13" xfId="0" applyFont="1" applyFill="1" applyBorder="1" applyAlignment="1">
      <alignment horizontal="left" vertical="top" wrapText="1"/>
    </xf>
    <xf numFmtId="0" fontId="22" fillId="0" borderId="15" xfId="0" applyFont="1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49" fontId="24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Alignment="1"/>
    <xf numFmtId="0" fontId="14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/>
    </xf>
    <xf numFmtId="49" fontId="22" fillId="0" borderId="1" xfId="0" applyNumberFormat="1" applyFont="1" applyFill="1" applyBorder="1" applyAlignment="1">
      <alignment horizontal="center" vertical="top" wrapText="1"/>
    </xf>
    <xf numFmtId="0" fontId="22" fillId="0" borderId="9" xfId="0" applyFont="1" applyFill="1" applyBorder="1" applyAlignment="1">
      <alignment horizontal="center" vertical="top" wrapText="1"/>
    </xf>
    <xf numFmtId="0" fontId="27" fillId="0" borderId="11" xfId="0" applyFont="1" applyFill="1" applyBorder="1" applyAlignment="1">
      <alignment horizontal="center" vertical="top" wrapText="1"/>
    </xf>
    <xf numFmtId="0" fontId="22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15" fillId="0" borderId="11" xfId="0" applyFont="1" applyBorder="1" applyAlignment="1">
      <alignment horizontal="center" vertical="top" wrapText="1"/>
    </xf>
    <xf numFmtId="0" fontId="15" fillId="0" borderId="3" xfId="0" applyFont="1" applyBorder="1" applyAlignment="1">
      <alignment vertical="top" wrapText="1"/>
    </xf>
    <xf numFmtId="0" fontId="15" fillId="0" borderId="5" xfId="0" applyFont="1" applyBorder="1" applyAlignment="1">
      <alignment vertical="top" wrapText="1"/>
    </xf>
    <xf numFmtId="0" fontId="15" fillId="0" borderId="7" xfId="0" applyFont="1" applyBorder="1" applyAlignment="1">
      <alignment vertical="top" wrapText="1"/>
    </xf>
    <xf numFmtId="0" fontId="15" fillId="0" borderId="1" xfId="0" applyFont="1" applyBorder="1" applyAlignment="1">
      <alignment horizontal="left" vertical="top" wrapText="1" indent="2"/>
    </xf>
    <xf numFmtId="0" fontId="15" fillId="0" borderId="9" xfId="0" applyFont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15" fillId="0" borderId="10" xfId="0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15" fillId="0" borderId="9" xfId="0" applyFont="1" applyBorder="1" applyAlignment="1">
      <alignment horizontal="left" vertical="top" wrapText="1" indent="2"/>
    </xf>
    <xf numFmtId="0" fontId="15" fillId="0" borderId="10" xfId="0" applyFont="1" applyBorder="1" applyAlignment="1">
      <alignment horizontal="left" vertical="top" wrapText="1" indent="2"/>
    </xf>
    <xf numFmtId="0" fontId="15" fillId="0" borderId="11" xfId="0" applyFont="1" applyBorder="1" applyAlignment="1">
      <alignment horizontal="left" vertical="top" wrapText="1" indent="2"/>
    </xf>
    <xf numFmtId="0" fontId="0" fillId="0" borderId="11" xfId="0" applyBorder="1" applyAlignment="1">
      <alignment horizontal="left" vertical="top" wrapText="1" indent="2"/>
    </xf>
    <xf numFmtId="0" fontId="0" fillId="0" borderId="7" xfId="0" applyBorder="1" applyAlignment="1">
      <alignment vertical="top" wrapText="1"/>
    </xf>
    <xf numFmtId="0" fontId="15" fillId="0" borderId="11" xfId="0" applyFont="1" applyBorder="1" applyAlignment="1">
      <alignment vertical="top" wrapText="1"/>
    </xf>
    <xf numFmtId="0" fontId="14" fillId="0" borderId="0" xfId="0" applyFont="1" applyAlignment="1">
      <alignment horizontal="right"/>
    </xf>
    <xf numFmtId="0" fontId="13" fillId="0" borderId="0" xfId="0" applyFont="1" applyAlignment="1"/>
    <xf numFmtId="0" fontId="28" fillId="0" borderId="0" xfId="0" applyFont="1" applyAlignment="1">
      <alignment horizontal="center"/>
    </xf>
    <xf numFmtId="0" fontId="29" fillId="0" borderId="0" xfId="0" applyFont="1" applyAlignment="1"/>
    <xf numFmtId="0" fontId="14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5" fillId="0" borderId="1" xfId="0" applyFont="1" applyBorder="1" applyAlignment="1">
      <alignment horizontal="justify" vertical="top" wrapText="1"/>
    </xf>
    <xf numFmtId="0" fontId="0" fillId="0" borderId="0" xfId="0" applyAlignment="1">
      <alignment vertical="center"/>
    </xf>
    <xf numFmtId="0" fontId="15" fillId="0" borderId="14" xfId="0" applyFont="1" applyBorder="1" applyAlignment="1">
      <alignment vertical="top" wrapText="1"/>
    </xf>
    <xf numFmtId="4" fontId="15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4" fillId="0" borderId="1" xfId="0" applyFont="1" applyBorder="1" applyAlignment="1">
      <alignment vertical="top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209550</xdr:colOff>
      <xdr:row>151</xdr:row>
      <xdr:rowOff>66675</xdr:rowOff>
    </xdr:from>
    <xdr:to>
      <xdr:col>2</xdr:col>
      <xdr:colOff>1828800</xdr:colOff>
      <xdr:row>151</xdr:row>
      <xdr:rowOff>514350</xdr:rowOff>
    </xdr:to>
    <xdr:pic>
      <xdr:nvPicPr>
        <xdr:cNvPr id="1194" name="Изображение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9925" y="53120925"/>
          <a:ext cx="1619250" cy="447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view="pageBreakPreview" zoomScaleNormal="100" zoomScaleSheetLayoutView="100" workbookViewId="0">
      <selection activeCell="K15" sqref="K15"/>
    </sheetView>
  </sheetViews>
  <sheetFormatPr defaultColWidth="8.85546875" defaultRowHeight="15"/>
  <cols>
    <col min="1" max="1" width="48.42578125" customWidth="1"/>
    <col min="2" max="2" width="11.7109375" customWidth="1"/>
    <col min="3" max="3" width="12.28515625" customWidth="1"/>
    <col min="4" max="5" width="10.7109375" customWidth="1"/>
    <col min="6" max="6" width="10.42578125" customWidth="1"/>
    <col min="7" max="7" width="11.42578125" customWidth="1"/>
  </cols>
  <sheetData>
    <row r="1" spans="1:8" ht="15.75" customHeight="1">
      <c r="A1" s="11"/>
      <c r="B1" s="13"/>
      <c r="C1" s="156" t="s">
        <v>543</v>
      </c>
      <c r="D1" s="156"/>
      <c r="E1" s="156"/>
      <c r="F1" s="156"/>
      <c r="G1" s="156"/>
      <c r="H1" s="13"/>
    </row>
    <row r="2" spans="1:8" ht="27.75" customHeight="1">
      <c r="A2" s="3"/>
      <c r="B2" s="13"/>
      <c r="C2" s="156"/>
      <c r="D2" s="156"/>
      <c r="E2" s="156"/>
      <c r="F2" s="156"/>
      <c r="G2" s="156"/>
      <c r="H2" s="13"/>
    </row>
    <row r="3" spans="1:8" ht="15.75">
      <c r="A3" s="158" t="s">
        <v>33</v>
      </c>
      <c r="B3" s="159"/>
      <c r="C3" s="159"/>
      <c r="D3" s="159"/>
      <c r="E3" s="159"/>
      <c r="F3" s="159"/>
      <c r="G3" s="159"/>
    </row>
    <row r="4" spans="1:8" ht="15.75">
      <c r="A4" s="158" t="s">
        <v>72</v>
      </c>
      <c r="B4" s="159"/>
      <c r="C4" s="159"/>
      <c r="D4" s="159"/>
      <c r="E4" s="159"/>
      <c r="F4" s="159"/>
      <c r="G4" s="159"/>
    </row>
    <row r="5" spans="1:8" ht="15.75">
      <c r="A5" s="3"/>
    </row>
    <row r="6" spans="1:8" ht="38.25" customHeight="1">
      <c r="A6" s="4" t="s">
        <v>34</v>
      </c>
      <c r="B6" s="157" t="s">
        <v>35</v>
      </c>
      <c r="C6" s="157"/>
      <c r="D6" s="157"/>
      <c r="E6" s="157"/>
      <c r="F6" s="157"/>
      <c r="G6" s="157"/>
    </row>
    <row r="7" spans="1:8">
      <c r="A7" s="4" t="s">
        <v>36</v>
      </c>
      <c r="B7" s="157" t="s">
        <v>37</v>
      </c>
      <c r="C7" s="157"/>
      <c r="D7" s="157"/>
      <c r="E7" s="157"/>
      <c r="F7" s="157"/>
      <c r="G7" s="157"/>
    </row>
    <row r="8" spans="1:8" ht="40.5" customHeight="1">
      <c r="A8" s="4" t="s">
        <v>38</v>
      </c>
      <c r="B8" s="157" t="s">
        <v>515</v>
      </c>
      <c r="C8" s="157"/>
      <c r="D8" s="157"/>
      <c r="E8" s="157"/>
      <c r="F8" s="157"/>
      <c r="G8" s="157"/>
    </row>
    <row r="9" spans="1:8" ht="15.75" customHeight="1">
      <c r="A9" s="45" t="s">
        <v>175</v>
      </c>
      <c r="B9" s="157" t="s">
        <v>39</v>
      </c>
      <c r="C9" s="157"/>
      <c r="D9" s="157"/>
      <c r="E9" s="157"/>
      <c r="F9" s="157"/>
      <c r="G9" s="157"/>
    </row>
    <row r="10" spans="1:8">
      <c r="A10" s="4" t="s">
        <v>40</v>
      </c>
      <c r="B10" s="5" t="s">
        <v>41</v>
      </c>
      <c r="C10" s="5" t="s">
        <v>42</v>
      </c>
      <c r="D10" s="5" t="s">
        <v>43</v>
      </c>
      <c r="E10" s="5" t="s">
        <v>44</v>
      </c>
      <c r="F10" s="5" t="s">
        <v>45</v>
      </c>
      <c r="G10" s="5" t="s">
        <v>46</v>
      </c>
    </row>
    <row r="11" spans="1:8">
      <c r="A11" s="4" t="s">
        <v>47</v>
      </c>
      <c r="B11" s="6">
        <f t="shared" ref="B11:G11" si="0">SUM(B12:B16)</f>
        <v>1235717.62152</v>
      </c>
      <c r="C11" s="6">
        <f t="shared" si="0"/>
        <v>297811.55</v>
      </c>
      <c r="D11" s="6">
        <f t="shared" si="0"/>
        <v>222942.56071000002</v>
      </c>
      <c r="E11" s="6">
        <f t="shared" si="0"/>
        <v>236995.73081000001</v>
      </c>
      <c r="F11" s="6">
        <f t="shared" si="0"/>
        <v>237041.39</v>
      </c>
      <c r="G11" s="6">
        <f t="shared" si="0"/>
        <v>240926.39</v>
      </c>
    </row>
    <row r="12" spans="1:8">
      <c r="A12" s="7" t="s">
        <v>24</v>
      </c>
      <c r="B12" s="6">
        <f>SUM(C12:G12)</f>
        <v>350</v>
      </c>
      <c r="C12" s="6">
        <f>'Приложение 1'!G206</f>
        <v>0</v>
      </c>
      <c r="D12" s="6">
        <f>'Приложение 1'!H206</f>
        <v>300</v>
      </c>
      <c r="E12" s="6">
        <f>'Приложение 1'!I206</f>
        <v>50</v>
      </c>
      <c r="F12" s="6">
        <f>'Приложение 1'!J206</f>
        <v>0</v>
      </c>
      <c r="G12" s="6">
        <f>'Приложение 1'!K206</f>
        <v>0</v>
      </c>
    </row>
    <row r="13" spans="1:8">
      <c r="A13" s="7" t="s">
        <v>5</v>
      </c>
      <c r="B13" s="6">
        <f>SUM(C13:G13)</f>
        <v>94376.089460000003</v>
      </c>
      <c r="C13" s="6">
        <f>'Приложение 1'!G207</f>
        <v>84207.59</v>
      </c>
      <c r="D13" s="6">
        <f>'Приложение 1'!H207</f>
        <v>7385.99946</v>
      </c>
      <c r="E13" s="6">
        <f>'Приложение 1'!I207</f>
        <v>840</v>
      </c>
      <c r="F13" s="6">
        <f>'Приложение 1'!J207</f>
        <v>0</v>
      </c>
      <c r="G13" s="6">
        <f>'Приложение 1'!K207</f>
        <v>1942.5</v>
      </c>
    </row>
    <row r="14" spans="1:8">
      <c r="A14" s="7" t="s">
        <v>71</v>
      </c>
      <c r="B14" s="6">
        <f>SUM(C14:G14)</f>
        <v>954557.70996000012</v>
      </c>
      <c r="C14" s="6">
        <f>'Приложение 1'!G208</f>
        <v>176621.87</v>
      </c>
      <c r="D14" s="6">
        <f>'Приложение 1'!H208</f>
        <v>185068.56115000002</v>
      </c>
      <c r="E14" s="6">
        <f>'Приложение 1'!I208</f>
        <v>197678.97881</v>
      </c>
      <c r="F14" s="6">
        <f>'Приложение 1'!J208</f>
        <v>196622.90000000002</v>
      </c>
      <c r="G14" s="6">
        <f>'Приложение 1'!K208</f>
        <v>198565.40000000002</v>
      </c>
    </row>
    <row r="15" spans="1:8" ht="25.5">
      <c r="A15" s="7" t="s">
        <v>25</v>
      </c>
      <c r="B15" s="6">
        <f>SUM(C15:G15)</f>
        <v>186433.82209999999</v>
      </c>
      <c r="C15" s="6">
        <f>'Приложение 1'!G209</f>
        <v>36982.089999999997</v>
      </c>
      <c r="D15" s="6">
        <f>'Приложение 1'!H209</f>
        <v>30188.000100000001</v>
      </c>
      <c r="E15" s="6">
        <f>'Приложение 1'!I209</f>
        <v>38426.752</v>
      </c>
      <c r="F15" s="6">
        <f>'Приложение 1'!J209</f>
        <v>40418.49</v>
      </c>
      <c r="G15" s="6">
        <f>'Приложение 1'!K209</f>
        <v>40418.49</v>
      </c>
    </row>
    <row r="16" spans="1:8">
      <c r="A16" s="4" t="s">
        <v>26</v>
      </c>
      <c r="B16" s="6">
        <f>SUM(C16:G16)</f>
        <v>0</v>
      </c>
      <c r="C16" s="6">
        <f>'Приложение 1'!G210</f>
        <v>0</v>
      </c>
      <c r="D16" s="6">
        <f>'Приложение 1'!H210</f>
        <v>0</v>
      </c>
      <c r="E16" s="6">
        <f>'Приложение 1'!I210</f>
        <v>0</v>
      </c>
      <c r="F16" s="6">
        <f>'Приложение 1'!J210</f>
        <v>0</v>
      </c>
      <c r="G16" s="6">
        <f>'Приложение 1'!K210</f>
        <v>0</v>
      </c>
    </row>
  </sheetData>
  <mergeCells count="7">
    <mergeCell ref="C1:G2"/>
    <mergeCell ref="B8:G8"/>
    <mergeCell ref="B9:G9"/>
    <mergeCell ref="A3:G3"/>
    <mergeCell ref="A4:G4"/>
    <mergeCell ref="B6:G6"/>
    <mergeCell ref="B7:G7"/>
  </mergeCells>
  <phoneticPr fontId="5" type="noConversion"/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15"/>
  <sheetViews>
    <sheetView view="pageBreakPreview" topLeftCell="A201" zoomScale="70" zoomScaleNormal="100" zoomScaleSheetLayoutView="70" workbookViewId="0">
      <selection activeCell="B64" sqref="B64:B69"/>
    </sheetView>
  </sheetViews>
  <sheetFormatPr defaultColWidth="8.85546875" defaultRowHeight="15"/>
  <cols>
    <col min="1" max="1" width="10.7109375" style="118" bestFit="1" customWidth="1"/>
    <col min="2" max="2" width="58.5703125" style="112" customWidth="1"/>
    <col min="3" max="3" width="16.42578125" style="112" customWidth="1"/>
    <col min="4" max="4" width="21.85546875" style="112" customWidth="1"/>
    <col min="5" max="5" width="17.140625" style="112" customWidth="1"/>
    <col min="6" max="6" width="11.42578125" style="112" customWidth="1"/>
    <col min="7" max="11" width="10.7109375" style="112" customWidth="1"/>
    <col min="12" max="12" width="17.7109375" style="112" customWidth="1"/>
    <col min="13" max="13" width="27.42578125" style="112" customWidth="1"/>
    <col min="14" max="16384" width="8.85546875" style="1"/>
  </cols>
  <sheetData>
    <row r="1" spans="1:13" ht="15.75">
      <c r="A1" s="182" t="s">
        <v>69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</row>
    <row r="2" spans="1:13" ht="15.75">
      <c r="A2" s="182"/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</row>
    <row r="3" spans="1:13">
      <c r="A3" s="111"/>
    </row>
    <row r="4" spans="1:13" s="2" customFormat="1" ht="15.75">
      <c r="A4" s="184" t="s">
        <v>21</v>
      </c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</row>
    <row r="5" spans="1:13" s="2" customFormat="1" ht="15.75">
      <c r="A5" s="186" t="s">
        <v>72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</row>
    <row r="6" spans="1:13" s="2" customFormat="1" ht="15.75">
      <c r="A6" s="113"/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</row>
    <row r="7" spans="1:13" ht="87" customHeight="1">
      <c r="A7" s="167" t="s">
        <v>0</v>
      </c>
      <c r="B7" s="161" t="s">
        <v>16</v>
      </c>
      <c r="C7" s="161" t="s">
        <v>17</v>
      </c>
      <c r="D7" s="161" t="s">
        <v>15</v>
      </c>
      <c r="E7" s="161" t="s">
        <v>22</v>
      </c>
      <c r="F7" s="161" t="s">
        <v>333</v>
      </c>
      <c r="G7" s="161" t="s">
        <v>14</v>
      </c>
      <c r="H7" s="161"/>
      <c r="I7" s="161"/>
      <c r="J7" s="161"/>
      <c r="K7" s="161"/>
      <c r="L7" s="161" t="s">
        <v>1</v>
      </c>
      <c r="M7" s="161" t="s">
        <v>2</v>
      </c>
    </row>
    <row r="8" spans="1:13">
      <c r="A8" s="167"/>
      <c r="B8" s="161"/>
      <c r="C8" s="161"/>
      <c r="D8" s="161"/>
      <c r="E8" s="165"/>
      <c r="F8" s="165"/>
      <c r="G8" s="99">
        <v>2017</v>
      </c>
      <c r="H8" s="99">
        <v>2018</v>
      </c>
      <c r="I8" s="99">
        <v>2019</v>
      </c>
      <c r="J8" s="99">
        <v>2020</v>
      </c>
      <c r="K8" s="99">
        <v>2021</v>
      </c>
      <c r="L8" s="161"/>
      <c r="M8" s="161"/>
    </row>
    <row r="9" spans="1:13">
      <c r="A9" s="101">
        <v>1</v>
      </c>
      <c r="B9" s="99">
        <v>2</v>
      </c>
      <c r="C9" s="99">
        <v>3</v>
      </c>
      <c r="D9" s="99">
        <v>4</v>
      </c>
      <c r="E9" s="99">
        <v>5</v>
      </c>
      <c r="F9" s="99">
        <v>6</v>
      </c>
      <c r="G9" s="99">
        <v>7</v>
      </c>
      <c r="H9" s="99">
        <v>8</v>
      </c>
      <c r="I9" s="99">
        <v>9</v>
      </c>
      <c r="J9" s="99">
        <v>10</v>
      </c>
      <c r="K9" s="99">
        <v>11</v>
      </c>
      <c r="L9" s="99">
        <v>12</v>
      </c>
      <c r="M9" s="99">
        <v>13</v>
      </c>
    </row>
    <row r="10" spans="1:13">
      <c r="A10" s="167" t="s">
        <v>23</v>
      </c>
      <c r="B10" s="188" t="s">
        <v>189</v>
      </c>
      <c r="C10" s="161" t="s">
        <v>3</v>
      </c>
      <c r="D10" s="97" t="s">
        <v>4</v>
      </c>
      <c r="E10" s="54">
        <f>E12+E13</f>
        <v>1764</v>
      </c>
      <c r="F10" s="54">
        <f t="shared" ref="F10:F21" si="0">SUM(G10:K10)</f>
        <v>12542.05</v>
      </c>
      <c r="G10" s="54">
        <f>SUM(G11:G15)</f>
        <v>2158.65</v>
      </c>
      <c r="H10" s="54">
        <f>SUM(H11:H15)</f>
        <v>1933.4</v>
      </c>
      <c r="I10" s="54">
        <f>SUM(I11:I15)</f>
        <v>2450</v>
      </c>
      <c r="J10" s="54">
        <f>SUM(J11:J15)</f>
        <v>3000</v>
      </c>
      <c r="K10" s="54">
        <f>SUM(K11:K15)</f>
        <v>3000</v>
      </c>
      <c r="L10" s="169" t="s">
        <v>486</v>
      </c>
      <c r="M10" s="169" t="s">
        <v>18</v>
      </c>
    </row>
    <row r="11" spans="1:13" ht="42" customHeight="1">
      <c r="A11" s="167"/>
      <c r="B11" s="188"/>
      <c r="C11" s="161"/>
      <c r="D11" s="99" t="s">
        <v>24</v>
      </c>
      <c r="E11" s="67">
        <f>E17</f>
        <v>0</v>
      </c>
      <c r="F11" s="67">
        <f t="shared" si="0"/>
        <v>0</v>
      </c>
      <c r="G11" s="67">
        <f t="shared" ref="G11:K13" si="1">G17</f>
        <v>0</v>
      </c>
      <c r="H11" s="67">
        <f t="shared" si="1"/>
        <v>0</v>
      </c>
      <c r="I11" s="67">
        <f t="shared" si="1"/>
        <v>0</v>
      </c>
      <c r="J11" s="67">
        <f t="shared" si="1"/>
        <v>0</v>
      </c>
      <c r="K11" s="67">
        <f t="shared" si="1"/>
        <v>0</v>
      </c>
      <c r="L11" s="170"/>
      <c r="M11" s="170"/>
    </row>
    <row r="12" spans="1:13" ht="25.5">
      <c r="A12" s="167"/>
      <c r="B12" s="165"/>
      <c r="C12" s="161"/>
      <c r="D12" s="99" t="s">
        <v>5</v>
      </c>
      <c r="E12" s="67">
        <f>E18</f>
        <v>0</v>
      </c>
      <c r="F12" s="67">
        <f t="shared" si="0"/>
        <v>0</v>
      </c>
      <c r="G12" s="67">
        <f t="shared" si="1"/>
        <v>0</v>
      </c>
      <c r="H12" s="67">
        <f t="shared" si="1"/>
        <v>0</v>
      </c>
      <c r="I12" s="67">
        <f t="shared" si="1"/>
        <v>0</v>
      </c>
      <c r="J12" s="67">
        <f t="shared" si="1"/>
        <v>0</v>
      </c>
      <c r="K12" s="67">
        <f t="shared" si="1"/>
        <v>0</v>
      </c>
      <c r="L12" s="170"/>
      <c r="M12" s="170"/>
    </row>
    <row r="13" spans="1:13" ht="38.25">
      <c r="A13" s="167"/>
      <c r="B13" s="165"/>
      <c r="C13" s="161"/>
      <c r="D13" s="99" t="s">
        <v>71</v>
      </c>
      <c r="E13" s="67">
        <f>E19</f>
        <v>1764</v>
      </c>
      <c r="F13" s="67">
        <f t="shared" si="0"/>
        <v>12542.05</v>
      </c>
      <c r="G13" s="67">
        <f t="shared" si="1"/>
        <v>2158.65</v>
      </c>
      <c r="H13" s="67">
        <f t="shared" si="1"/>
        <v>1933.4</v>
      </c>
      <c r="I13" s="67">
        <f t="shared" si="1"/>
        <v>2450</v>
      </c>
      <c r="J13" s="67">
        <f t="shared" si="1"/>
        <v>3000</v>
      </c>
      <c r="K13" s="67">
        <f t="shared" si="1"/>
        <v>3000</v>
      </c>
      <c r="L13" s="170"/>
      <c r="M13" s="170"/>
    </row>
    <row r="14" spans="1:13" ht="67.5" customHeight="1">
      <c r="A14" s="163"/>
      <c r="B14" s="166"/>
      <c r="C14" s="163"/>
      <c r="D14" s="99" t="s">
        <v>25</v>
      </c>
      <c r="E14" s="67">
        <f>E20</f>
        <v>0</v>
      </c>
      <c r="F14" s="67">
        <f t="shared" si="0"/>
        <v>0</v>
      </c>
      <c r="G14" s="67">
        <f t="shared" ref="G14:K15" si="2">G20</f>
        <v>0</v>
      </c>
      <c r="H14" s="67">
        <f t="shared" si="2"/>
        <v>0</v>
      </c>
      <c r="I14" s="67">
        <f t="shared" si="2"/>
        <v>0</v>
      </c>
      <c r="J14" s="67">
        <f t="shared" si="2"/>
        <v>0</v>
      </c>
      <c r="K14" s="67">
        <f t="shared" si="2"/>
        <v>0</v>
      </c>
      <c r="L14" s="170"/>
      <c r="M14" s="170"/>
    </row>
    <row r="15" spans="1:13" ht="25.5">
      <c r="A15" s="163"/>
      <c r="B15" s="166"/>
      <c r="C15" s="163"/>
      <c r="D15" s="99" t="s">
        <v>26</v>
      </c>
      <c r="E15" s="67">
        <f>E21</f>
        <v>0</v>
      </c>
      <c r="F15" s="67">
        <f t="shared" si="0"/>
        <v>0</v>
      </c>
      <c r="G15" s="67">
        <f t="shared" si="2"/>
        <v>0</v>
      </c>
      <c r="H15" s="67">
        <f t="shared" si="2"/>
        <v>0</v>
      </c>
      <c r="I15" s="67">
        <f t="shared" si="2"/>
        <v>0</v>
      </c>
      <c r="J15" s="67">
        <f t="shared" si="2"/>
        <v>0</v>
      </c>
      <c r="K15" s="67">
        <f t="shared" si="2"/>
        <v>0</v>
      </c>
      <c r="L15" s="171"/>
      <c r="M15" s="171"/>
    </row>
    <row r="16" spans="1:13" ht="15" customHeight="1">
      <c r="A16" s="167" t="s">
        <v>6</v>
      </c>
      <c r="B16" s="160" t="s">
        <v>73</v>
      </c>
      <c r="C16" s="161" t="s">
        <v>3</v>
      </c>
      <c r="D16" s="99" t="s">
        <v>4</v>
      </c>
      <c r="E16" s="67">
        <f>E18+E19</f>
        <v>1764</v>
      </c>
      <c r="F16" s="67">
        <f t="shared" si="0"/>
        <v>12542.05</v>
      </c>
      <c r="G16" s="67">
        <f>SUM(G17:G21)</f>
        <v>2158.65</v>
      </c>
      <c r="H16" s="67">
        <f>SUM(H17:H21)</f>
        <v>1933.4</v>
      </c>
      <c r="I16" s="67">
        <f>SUM(I17:I21)</f>
        <v>2450</v>
      </c>
      <c r="J16" s="67">
        <f>SUM(J17:J21)</f>
        <v>3000</v>
      </c>
      <c r="K16" s="67">
        <f>SUM(K17:K21)</f>
        <v>3000</v>
      </c>
      <c r="L16" s="169" t="s">
        <v>486</v>
      </c>
      <c r="M16" s="169" t="s">
        <v>74</v>
      </c>
    </row>
    <row r="17" spans="1:13" ht="40.5" customHeight="1">
      <c r="A17" s="167"/>
      <c r="B17" s="160"/>
      <c r="C17" s="161"/>
      <c r="D17" s="99" t="s">
        <v>24</v>
      </c>
      <c r="E17" s="67">
        <v>0</v>
      </c>
      <c r="F17" s="67">
        <f t="shared" si="0"/>
        <v>0</v>
      </c>
      <c r="G17" s="67">
        <v>0</v>
      </c>
      <c r="H17" s="67">
        <v>0</v>
      </c>
      <c r="I17" s="67"/>
      <c r="J17" s="67">
        <v>0</v>
      </c>
      <c r="K17" s="67">
        <v>0</v>
      </c>
      <c r="L17" s="170"/>
      <c r="M17" s="175"/>
    </row>
    <row r="18" spans="1:13" ht="25.5">
      <c r="A18" s="167"/>
      <c r="B18" s="160"/>
      <c r="C18" s="161"/>
      <c r="D18" s="99" t="s">
        <v>5</v>
      </c>
      <c r="E18" s="67">
        <v>0</v>
      </c>
      <c r="F18" s="67">
        <f t="shared" si="0"/>
        <v>0</v>
      </c>
      <c r="G18" s="67">
        <v>0</v>
      </c>
      <c r="H18" s="67">
        <v>0</v>
      </c>
      <c r="I18" s="67">
        <v>0</v>
      </c>
      <c r="J18" s="67">
        <v>0</v>
      </c>
      <c r="K18" s="67">
        <v>0</v>
      </c>
      <c r="L18" s="170"/>
      <c r="M18" s="175"/>
    </row>
    <row r="19" spans="1:13" ht="38.25">
      <c r="A19" s="167"/>
      <c r="B19" s="160"/>
      <c r="C19" s="161"/>
      <c r="D19" s="99" t="s">
        <v>71</v>
      </c>
      <c r="E19" s="67">
        <v>1764</v>
      </c>
      <c r="F19" s="67">
        <f t="shared" si="0"/>
        <v>12542.05</v>
      </c>
      <c r="G19" s="67">
        <v>2158.65</v>
      </c>
      <c r="H19" s="67">
        <v>1933.4</v>
      </c>
      <c r="I19" s="67">
        <f>2800-350</f>
        <v>2450</v>
      </c>
      <c r="J19" s="67">
        <v>3000</v>
      </c>
      <c r="K19" s="67">
        <v>3000</v>
      </c>
      <c r="L19" s="170"/>
      <c r="M19" s="175"/>
    </row>
    <row r="20" spans="1:13" ht="66.75" customHeight="1">
      <c r="A20" s="163"/>
      <c r="B20" s="163"/>
      <c r="C20" s="163"/>
      <c r="D20" s="99" t="s">
        <v>25</v>
      </c>
      <c r="E20" s="67">
        <v>0</v>
      </c>
      <c r="F20" s="67">
        <f t="shared" si="0"/>
        <v>0</v>
      </c>
      <c r="G20" s="67">
        <v>0</v>
      </c>
      <c r="H20" s="67">
        <v>0</v>
      </c>
      <c r="I20" s="67">
        <v>0</v>
      </c>
      <c r="J20" s="67">
        <v>0</v>
      </c>
      <c r="K20" s="67">
        <v>0</v>
      </c>
      <c r="L20" s="170"/>
      <c r="M20" s="175"/>
    </row>
    <row r="21" spans="1:13" ht="25.5">
      <c r="A21" s="163"/>
      <c r="B21" s="163"/>
      <c r="C21" s="163"/>
      <c r="D21" s="99" t="s">
        <v>26</v>
      </c>
      <c r="E21" s="67">
        <v>0</v>
      </c>
      <c r="F21" s="67">
        <f t="shared" si="0"/>
        <v>0</v>
      </c>
      <c r="G21" s="67">
        <v>0</v>
      </c>
      <c r="H21" s="67">
        <v>0</v>
      </c>
      <c r="I21" s="67">
        <v>0</v>
      </c>
      <c r="J21" s="67">
        <v>0</v>
      </c>
      <c r="K21" s="67">
        <v>0</v>
      </c>
      <c r="L21" s="171"/>
      <c r="M21" s="176"/>
    </row>
    <row r="22" spans="1:13" ht="15" customHeight="1">
      <c r="A22" s="167" t="s">
        <v>27</v>
      </c>
      <c r="B22" s="164" t="s">
        <v>252</v>
      </c>
      <c r="C22" s="161" t="s">
        <v>3</v>
      </c>
      <c r="D22" s="97" t="s">
        <v>4</v>
      </c>
      <c r="E22" s="54">
        <f>SUM(E23:E27)</f>
        <v>0</v>
      </c>
      <c r="F22" s="54">
        <f t="shared" ref="F22:K22" si="3">SUM(F23:F27)</f>
        <v>0</v>
      </c>
      <c r="G22" s="54">
        <f t="shared" si="3"/>
        <v>0</v>
      </c>
      <c r="H22" s="54">
        <f t="shared" si="3"/>
        <v>0</v>
      </c>
      <c r="I22" s="54">
        <f t="shared" si="3"/>
        <v>0</v>
      </c>
      <c r="J22" s="54">
        <f t="shared" si="3"/>
        <v>0</v>
      </c>
      <c r="K22" s="54">
        <f t="shared" si="3"/>
        <v>0</v>
      </c>
      <c r="L22" s="169" t="s">
        <v>486</v>
      </c>
      <c r="M22" s="169" t="s">
        <v>76</v>
      </c>
    </row>
    <row r="23" spans="1:13" ht="28.5" customHeight="1">
      <c r="A23" s="167"/>
      <c r="B23" s="164"/>
      <c r="C23" s="161"/>
      <c r="D23" s="99" t="s">
        <v>24</v>
      </c>
      <c r="E23" s="67">
        <f>E29</f>
        <v>0</v>
      </c>
      <c r="F23" s="67">
        <f>SUM(G23:K23)</f>
        <v>0</v>
      </c>
      <c r="G23" s="67">
        <f>G29</f>
        <v>0</v>
      </c>
      <c r="H23" s="67">
        <f>H29</f>
        <v>0</v>
      </c>
      <c r="I23" s="67">
        <f>I29</f>
        <v>0</v>
      </c>
      <c r="J23" s="67">
        <f>J29</f>
        <v>0</v>
      </c>
      <c r="K23" s="67">
        <f>K29</f>
        <v>0</v>
      </c>
      <c r="L23" s="170"/>
      <c r="M23" s="170"/>
    </row>
    <row r="24" spans="1:13" ht="25.5">
      <c r="A24" s="167"/>
      <c r="B24" s="164"/>
      <c r="C24" s="161"/>
      <c r="D24" s="99" t="s">
        <v>5</v>
      </c>
      <c r="E24" s="67">
        <f>E30</f>
        <v>0</v>
      </c>
      <c r="F24" s="67">
        <f>SUM(G24:K24)</f>
        <v>0</v>
      </c>
      <c r="G24" s="67">
        <f t="shared" ref="G24:K27" si="4">G30</f>
        <v>0</v>
      </c>
      <c r="H24" s="67">
        <f t="shared" si="4"/>
        <v>0</v>
      </c>
      <c r="I24" s="67">
        <f t="shared" si="4"/>
        <v>0</v>
      </c>
      <c r="J24" s="67">
        <f t="shared" si="4"/>
        <v>0</v>
      </c>
      <c r="K24" s="67">
        <f t="shared" si="4"/>
        <v>0</v>
      </c>
      <c r="L24" s="170"/>
      <c r="M24" s="170"/>
    </row>
    <row r="25" spans="1:13" ht="38.25">
      <c r="A25" s="167"/>
      <c r="B25" s="164"/>
      <c r="C25" s="161"/>
      <c r="D25" s="99" t="s">
        <v>71</v>
      </c>
      <c r="E25" s="67">
        <f>E31</f>
        <v>0</v>
      </c>
      <c r="F25" s="67">
        <f>SUM(G25:K25)</f>
        <v>0</v>
      </c>
      <c r="G25" s="67">
        <f t="shared" si="4"/>
        <v>0</v>
      </c>
      <c r="H25" s="67">
        <f t="shared" si="4"/>
        <v>0</v>
      </c>
      <c r="I25" s="67">
        <f t="shared" si="4"/>
        <v>0</v>
      </c>
      <c r="J25" s="67">
        <f t="shared" si="4"/>
        <v>0</v>
      </c>
      <c r="K25" s="67">
        <f t="shared" si="4"/>
        <v>0</v>
      </c>
      <c r="L25" s="170"/>
      <c r="M25" s="170"/>
    </row>
    <row r="26" spans="1:13" ht="66.75" customHeight="1">
      <c r="A26" s="163"/>
      <c r="B26" s="163"/>
      <c r="C26" s="163"/>
      <c r="D26" s="99" t="s">
        <v>25</v>
      </c>
      <c r="E26" s="67">
        <f>E32</f>
        <v>0</v>
      </c>
      <c r="F26" s="67">
        <f>SUM(G26:K26)</f>
        <v>0</v>
      </c>
      <c r="G26" s="67">
        <f t="shared" si="4"/>
        <v>0</v>
      </c>
      <c r="H26" s="67">
        <f t="shared" si="4"/>
        <v>0</v>
      </c>
      <c r="I26" s="67">
        <f t="shared" si="4"/>
        <v>0</v>
      </c>
      <c r="J26" s="67">
        <f t="shared" si="4"/>
        <v>0</v>
      </c>
      <c r="K26" s="67">
        <f t="shared" si="4"/>
        <v>0</v>
      </c>
      <c r="L26" s="170"/>
      <c r="M26" s="170"/>
    </row>
    <row r="27" spans="1:13" ht="25.5">
      <c r="A27" s="163"/>
      <c r="B27" s="163"/>
      <c r="C27" s="163"/>
      <c r="D27" s="99" t="s">
        <v>26</v>
      </c>
      <c r="E27" s="67">
        <f>E33</f>
        <v>0</v>
      </c>
      <c r="F27" s="67">
        <f>SUM(G27:K27)</f>
        <v>0</v>
      </c>
      <c r="G27" s="67">
        <f t="shared" si="4"/>
        <v>0</v>
      </c>
      <c r="H27" s="67">
        <f t="shared" si="4"/>
        <v>0</v>
      </c>
      <c r="I27" s="67">
        <f t="shared" si="4"/>
        <v>0</v>
      </c>
      <c r="J27" s="67">
        <f t="shared" si="4"/>
        <v>0</v>
      </c>
      <c r="K27" s="67">
        <f t="shared" si="4"/>
        <v>0</v>
      </c>
      <c r="L27" s="171"/>
      <c r="M27" s="171"/>
    </row>
    <row r="28" spans="1:13" ht="15" customHeight="1">
      <c r="A28" s="167" t="s">
        <v>7</v>
      </c>
      <c r="B28" s="160" t="s">
        <v>100</v>
      </c>
      <c r="C28" s="161" t="s">
        <v>3</v>
      </c>
      <c r="D28" s="99" t="s">
        <v>4</v>
      </c>
      <c r="E28" s="67">
        <f>SUM(E29:E33)</f>
        <v>0</v>
      </c>
      <c r="F28" s="67">
        <f t="shared" ref="F28:K28" si="5">SUM(F29:F33)</f>
        <v>0</v>
      </c>
      <c r="G28" s="67">
        <f t="shared" si="5"/>
        <v>0</v>
      </c>
      <c r="H28" s="67">
        <f t="shared" si="5"/>
        <v>0</v>
      </c>
      <c r="I28" s="67">
        <f t="shared" si="5"/>
        <v>0</v>
      </c>
      <c r="J28" s="67">
        <f t="shared" si="5"/>
        <v>0</v>
      </c>
      <c r="K28" s="67">
        <f t="shared" si="5"/>
        <v>0</v>
      </c>
      <c r="L28" s="169" t="s">
        <v>486</v>
      </c>
      <c r="M28" s="169" t="s">
        <v>77</v>
      </c>
    </row>
    <row r="29" spans="1:13" ht="35.25" customHeight="1">
      <c r="A29" s="167"/>
      <c r="B29" s="160"/>
      <c r="C29" s="161"/>
      <c r="D29" s="99" t="s">
        <v>24</v>
      </c>
      <c r="E29" s="67">
        <v>0</v>
      </c>
      <c r="F29" s="67">
        <f>SUM(G29:K29)</f>
        <v>0</v>
      </c>
      <c r="G29" s="67">
        <v>0</v>
      </c>
      <c r="H29" s="67">
        <v>0</v>
      </c>
      <c r="I29" s="67">
        <v>0</v>
      </c>
      <c r="J29" s="67">
        <v>0</v>
      </c>
      <c r="K29" s="67">
        <v>0</v>
      </c>
      <c r="L29" s="170"/>
      <c r="M29" s="175"/>
    </row>
    <row r="30" spans="1:13" ht="25.5">
      <c r="A30" s="167"/>
      <c r="B30" s="160"/>
      <c r="C30" s="161"/>
      <c r="D30" s="99" t="s">
        <v>5</v>
      </c>
      <c r="E30" s="67">
        <v>0</v>
      </c>
      <c r="F30" s="67">
        <f>SUM(G30:K30)</f>
        <v>0</v>
      </c>
      <c r="G30" s="67">
        <v>0</v>
      </c>
      <c r="H30" s="67">
        <v>0</v>
      </c>
      <c r="I30" s="67">
        <v>0</v>
      </c>
      <c r="J30" s="67">
        <v>0</v>
      </c>
      <c r="K30" s="67">
        <v>0</v>
      </c>
      <c r="L30" s="170"/>
      <c r="M30" s="175"/>
    </row>
    <row r="31" spans="1:13" ht="38.25">
      <c r="A31" s="167"/>
      <c r="B31" s="160"/>
      <c r="C31" s="161"/>
      <c r="D31" s="99" t="s">
        <v>71</v>
      </c>
      <c r="E31" s="67">
        <v>0</v>
      </c>
      <c r="F31" s="67">
        <f>SUM(G31:K31)</f>
        <v>0</v>
      </c>
      <c r="G31" s="67">
        <v>0</v>
      </c>
      <c r="H31" s="67">
        <v>0</v>
      </c>
      <c r="I31" s="67">
        <v>0</v>
      </c>
      <c r="J31" s="67">
        <v>0</v>
      </c>
      <c r="K31" s="67">
        <v>0</v>
      </c>
      <c r="L31" s="170"/>
      <c r="M31" s="175"/>
    </row>
    <row r="32" spans="1:13" ht="59.25" customHeight="1">
      <c r="A32" s="163"/>
      <c r="B32" s="163"/>
      <c r="C32" s="163"/>
      <c r="D32" s="99" t="s">
        <v>25</v>
      </c>
      <c r="E32" s="67">
        <v>0</v>
      </c>
      <c r="F32" s="67">
        <f>SUM(G32:K32)</f>
        <v>0</v>
      </c>
      <c r="G32" s="67">
        <v>0</v>
      </c>
      <c r="H32" s="67">
        <v>0</v>
      </c>
      <c r="I32" s="67">
        <v>0</v>
      </c>
      <c r="J32" s="67">
        <v>0</v>
      </c>
      <c r="K32" s="67">
        <v>0</v>
      </c>
      <c r="L32" s="170"/>
      <c r="M32" s="175"/>
    </row>
    <row r="33" spans="1:13" ht="25.5">
      <c r="A33" s="163"/>
      <c r="B33" s="163"/>
      <c r="C33" s="163"/>
      <c r="D33" s="99" t="s">
        <v>26</v>
      </c>
      <c r="E33" s="67">
        <v>0</v>
      </c>
      <c r="F33" s="67">
        <f>SUM(G33:K33)</f>
        <v>0</v>
      </c>
      <c r="G33" s="67">
        <v>0</v>
      </c>
      <c r="H33" s="67">
        <v>0</v>
      </c>
      <c r="I33" s="67">
        <v>0</v>
      </c>
      <c r="J33" s="67">
        <v>0</v>
      </c>
      <c r="K33" s="67">
        <v>0</v>
      </c>
      <c r="L33" s="171"/>
      <c r="M33" s="176"/>
    </row>
    <row r="34" spans="1:13" s="82" customFormat="1">
      <c r="A34" s="168" t="s">
        <v>8</v>
      </c>
      <c r="B34" s="164" t="s">
        <v>254</v>
      </c>
      <c r="C34" s="161" t="s">
        <v>3</v>
      </c>
      <c r="D34" s="97" t="s">
        <v>4</v>
      </c>
      <c r="E34" s="54">
        <f>SUM(E35:E39)</f>
        <v>39820.82</v>
      </c>
      <c r="F34" s="54">
        <f t="shared" ref="F34:F39" si="6">SUM(G34:K34)</f>
        <v>384007.55806000001</v>
      </c>
      <c r="G34" s="54">
        <f>SUM(G35:G39)</f>
        <v>66849.59</v>
      </c>
      <c r="H34" s="54">
        <f>SUM(H35:H39)</f>
        <v>70001.00606</v>
      </c>
      <c r="I34" s="54">
        <f>SUM(I35:I39)</f>
        <v>80471.182000000001</v>
      </c>
      <c r="J34" s="54">
        <f>SUM(J35:J39)</f>
        <v>83342.89</v>
      </c>
      <c r="K34" s="54">
        <f>SUM(K35:K39)</f>
        <v>83342.89</v>
      </c>
      <c r="L34" s="169" t="s">
        <v>487</v>
      </c>
      <c r="M34" s="169" t="s">
        <v>80</v>
      </c>
    </row>
    <row r="35" spans="1:13" s="82" customFormat="1" ht="25.5">
      <c r="A35" s="168"/>
      <c r="B35" s="164"/>
      <c r="C35" s="161"/>
      <c r="D35" s="99" t="s">
        <v>24</v>
      </c>
      <c r="E35" s="67">
        <f>E41+E47+E53+E59+E65</f>
        <v>0</v>
      </c>
      <c r="F35" s="67">
        <f t="shared" si="6"/>
        <v>350</v>
      </c>
      <c r="G35" s="67">
        <f>G41+G47+G53+G59+G65</f>
        <v>0</v>
      </c>
      <c r="H35" s="67">
        <f>H41+H47+H53+H59+H65</f>
        <v>300</v>
      </c>
      <c r="I35" s="67">
        <f>I41+I47+I53+I59+I65</f>
        <v>50</v>
      </c>
      <c r="J35" s="67">
        <f>J41+J47+J53+J59+J65</f>
        <v>0</v>
      </c>
      <c r="K35" s="67">
        <f>K41+K47+K53+K59+K65</f>
        <v>0</v>
      </c>
      <c r="L35" s="170"/>
      <c r="M35" s="170"/>
    </row>
    <row r="36" spans="1:13" s="82" customFormat="1" ht="25.5">
      <c r="A36" s="168"/>
      <c r="B36" s="165"/>
      <c r="C36" s="161"/>
      <c r="D36" s="99" t="s">
        <v>5</v>
      </c>
      <c r="E36" s="67">
        <f>E42+E48+E54+E60+E66</f>
        <v>2489.9499999999998</v>
      </c>
      <c r="F36" s="67">
        <f t="shared" si="6"/>
        <v>4707.2954599999994</v>
      </c>
      <c r="G36" s="67">
        <f t="shared" ref="G36:K39" si="7">G42+G48+G54+G60+G66</f>
        <v>642.86</v>
      </c>
      <c r="H36" s="67">
        <f t="shared" si="7"/>
        <v>3994.4354599999997</v>
      </c>
      <c r="I36" s="67">
        <f t="shared" si="7"/>
        <v>70</v>
      </c>
      <c r="J36" s="67">
        <f t="shared" si="7"/>
        <v>0</v>
      </c>
      <c r="K36" s="67">
        <f t="shared" si="7"/>
        <v>0</v>
      </c>
      <c r="L36" s="170"/>
      <c r="M36" s="170"/>
    </row>
    <row r="37" spans="1:13" s="82" customFormat="1" ht="38.25">
      <c r="A37" s="168"/>
      <c r="B37" s="165"/>
      <c r="C37" s="161"/>
      <c r="D37" s="149" t="s">
        <v>71</v>
      </c>
      <c r="E37" s="67">
        <f>E43+E49+E55+E61+E67</f>
        <v>25925.29</v>
      </c>
      <c r="F37" s="67">
        <f t="shared" si="6"/>
        <v>204218.07259999998</v>
      </c>
      <c r="G37" s="67">
        <f t="shared" si="7"/>
        <v>39786.839999999997</v>
      </c>
      <c r="H37" s="67">
        <f t="shared" si="7"/>
        <v>35658.0026</v>
      </c>
      <c r="I37" s="67">
        <f t="shared" si="7"/>
        <v>42924.43</v>
      </c>
      <c r="J37" s="67">
        <f t="shared" si="7"/>
        <v>42924.4</v>
      </c>
      <c r="K37" s="67">
        <f t="shared" si="7"/>
        <v>42924.4</v>
      </c>
      <c r="L37" s="170"/>
      <c r="M37" s="170"/>
    </row>
    <row r="38" spans="1:13" s="82" customFormat="1" ht="45.75" customHeight="1">
      <c r="A38" s="163"/>
      <c r="B38" s="166"/>
      <c r="C38" s="163"/>
      <c r="D38" s="149" t="s">
        <v>25</v>
      </c>
      <c r="E38" s="67">
        <f>E44+E50+E56+E62+E68</f>
        <v>11405.58</v>
      </c>
      <c r="F38" s="67">
        <f t="shared" si="6"/>
        <v>174732.18999999997</v>
      </c>
      <c r="G38" s="67">
        <f t="shared" si="7"/>
        <v>26419.89</v>
      </c>
      <c r="H38" s="67">
        <f t="shared" si="7"/>
        <v>30048.567999999999</v>
      </c>
      <c r="I38" s="67">
        <f t="shared" si="7"/>
        <v>37426.752</v>
      </c>
      <c r="J38" s="67">
        <f t="shared" si="7"/>
        <v>40418.49</v>
      </c>
      <c r="K38" s="67">
        <f t="shared" si="7"/>
        <v>40418.49</v>
      </c>
      <c r="L38" s="170"/>
      <c r="M38" s="170"/>
    </row>
    <row r="39" spans="1:13" s="82" customFormat="1" ht="25.5">
      <c r="A39" s="163"/>
      <c r="B39" s="166"/>
      <c r="C39" s="163"/>
      <c r="D39" s="99" t="s">
        <v>26</v>
      </c>
      <c r="E39" s="67">
        <f>E45+E51+E57+E63+E69</f>
        <v>0</v>
      </c>
      <c r="F39" s="67">
        <f t="shared" si="6"/>
        <v>0</v>
      </c>
      <c r="G39" s="67">
        <f t="shared" si="7"/>
        <v>0</v>
      </c>
      <c r="H39" s="67">
        <f t="shared" si="7"/>
        <v>0</v>
      </c>
      <c r="I39" s="67">
        <f t="shared" si="7"/>
        <v>0</v>
      </c>
      <c r="J39" s="67">
        <f t="shared" si="7"/>
        <v>0</v>
      </c>
      <c r="K39" s="67">
        <f t="shared" si="7"/>
        <v>0</v>
      </c>
      <c r="L39" s="171"/>
      <c r="M39" s="171"/>
    </row>
    <row r="40" spans="1:13" s="82" customFormat="1" ht="15" customHeight="1">
      <c r="A40" s="167" t="s">
        <v>180</v>
      </c>
      <c r="B40" s="160" t="s">
        <v>255</v>
      </c>
      <c r="C40" s="161" t="s">
        <v>3</v>
      </c>
      <c r="D40" s="99" t="s">
        <v>11</v>
      </c>
      <c r="E40" s="67">
        <f>SUM(E41:E45)</f>
        <v>28415.24</v>
      </c>
      <c r="F40" s="67">
        <f t="shared" ref="F40:F55" si="8">SUM(G40:K40)</f>
        <v>208855.36805999998</v>
      </c>
      <c r="G40" s="67">
        <f>SUM(G41:G45)</f>
        <v>40429.699999999997</v>
      </c>
      <c r="H40" s="67">
        <f>SUM(H41:H45)</f>
        <v>39652.43806</v>
      </c>
      <c r="I40" s="67">
        <f>SUM(I41:I45)</f>
        <v>42924.43</v>
      </c>
      <c r="J40" s="67">
        <f>SUM(J41:J45)</f>
        <v>42924.4</v>
      </c>
      <c r="K40" s="67">
        <f>SUM(K41:K45)</f>
        <v>42924.4</v>
      </c>
      <c r="L40" s="169" t="s">
        <v>487</v>
      </c>
      <c r="M40" s="161" t="s">
        <v>200</v>
      </c>
    </row>
    <row r="41" spans="1:13" s="82" customFormat="1" ht="25.5">
      <c r="A41" s="167"/>
      <c r="B41" s="160"/>
      <c r="C41" s="161"/>
      <c r="D41" s="99" t="s">
        <v>24</v>
      </c>
      <c r="E41" s="67">
        <v>0</v>
      </c>
      <c r="F41" s="67">
        <f t="shared" si="8"/>
        <v>0</v>
      </c>
      <c r="G41" s="67">
        <v>0</v>
      </c>
      <c r="H41" s="67">
        <v>0</v>
      </c>
      <c r="I41" s="67">
        <v>0</v>
      </c>
      <c r="J41" s="67">
        <v>0</v>
      </c>
      <c r="K41" s="67">
        <v>0</v>
      </c>
      <c r="L41" s="170"/>
      <c r="M41" s="162"/>
    </row>
    <row r="42" spans="1:13" s="82" customFormat="1" ht="25.5">
      <c r="A42" s="167"/>
      <c r="B42" s="160"/>
      <c r="C42" s="161"/>
      <c r="D42" s="99" t="s">
        <v>5</v>
      </c>
      <c r="E42" s="67">
        <v>2489.9499999999998</v>
      </c>
      <c r="F42" s="67">
        <f t="shared" si="8"/>
        <v>4637.2954599999994</v>
      </c>
      <c r="G42" s="67">
        <v>642.86</v>
      </c>
      <c r="H42" s="67">
        <f>(1389247.31+419552.15)/1000+2185636/1000</f>
        <v>3994.4354599999997</v>
      </c>
      <c r="I42" s="67">
        <v>0</v>
      </c>
      <c r="J42" s="67">
        <v>0</v>
      </c>
      <c r="K42" s="67">
        <v>0</v>
      </c>
      <c r="L42" s="170"/>
      <c r="M42" s="162"/>
    </row>
    <row r="43" spans="1:13" s="82" customFormat="1" ht="38.25">
      <c r="A43" s="167"/>
      <c r="B43" s="160"/>
      <c r="C43" s="161"/>
      <c r="D43" s="99" t="s">
        <v>71</v>
      </c>
      <c r="E43" s="67">
        <v>25925.29</v>
      </c>
      <c r="F43" s="67">
        <f t="shared" si="8"/>
        <v>204218.07259999998</v>
      </c>
      <c r="G43" s="67">
        <v>39786.839999999997</v>
      </c>
      <c r="H43" s="67">
        <f>(35079511+355960.66+107499.94)/1000+115031/1000</f>
        <v>35658.0026</v>
      </c>
      <c r="I43" s="67">
        <v>42924.43</v>
      </c>
      <c r="J43" s="67">
        <v>42924.4</v>
      </c>
      <c r="K43" s="67">
        <v>42924.4</v>
      </c>
      <c r="L43" s="170"/>
      <c r="M43" s="162"/>
    </row>
    <row r="44" spans="1:13" s="82" customFormat="1" ht="53.25" customHeight="1">
      <c r="A44" s="163"/>
      <c r="B44" s="163"/>
      <c r="C44" s="163"/>
      <c r="D44" s="99" t="s">
        <v>25</v>
      </c>
      <c r="E44" s="67">
        <v>0</v>
      </c>
      <c r="F44" s="67">
        <f t="shared" si="8"/>
        <v>0</v>
      </c>
      <c r="G44" s="67">
        <v>0</v>
      </c>
      <c r="H44" s="67">
        <v>0</v>
      </c>
      <c r="I44" s="67">
        <v>0</v>
      </c>
      <c r="J44" s="67">
        <v>0</v>
      </c>
      <c r="K44" s="67">
        <v>0</v>
      </c>
      <c r="L44" s="170"/>
      <c r="M44" s="162"/>
    </row>
    <row r="45" spans="1:13" s="82" customFormat="1" ht="25.5">
      <c r="A45" s="163"/>
      <c r="B45" s="163"/>
      <c r="C45" s="163"/>
      <c r="D45" s="99" t="s">
        <v>26</v>
      </c>
      <c r="E45" s="67">
        <v>0</v>
      </c>
      <c r="F45" s="67">
        <f t="shared" si="8"/>
        <v>0</v>
      </c>
      <c r="G45" s="67">
        <v>0</v>
      </c>
      <c r="H45" s="67">
        <v>0</v>
      </c>
      <c r="I45" s="67">
        <v>0</v>
      </c>
      <c r="J45" s="67">
        <v>0</v>
      </c>
      <c r="K45" s="67">
        <v>0</v>
      </c>
      <c r="L45" s="171"/>
      <c r="M45" s="162"/>
    </row>
    <row r="46" spans="1:13" s="82" customFormat="1" ht="15" customHeight="1">
      <c r="A46" s="167" t="s">
        <v>181</v>
      </c>
      <c r="B46" s="160" t="s">
        <v>256</v>
      </c>
      <c r="C46" s="161" t="s">
        <v>3</v>
      </c>
      <c r="D46" s="99" t="s">
        <v>11</v>
      </c>
      <c r="E46" s="67">
        <f>SUM(E47:E51)</f>
        <v>11405.58</v>
      </c>
      <c r="F46" s="67">
        <f t="shared" si="8"/>
        <v>174802.18999999997</v>
      </c>
      <c r="G46" s="67">
        <f>SUM(G47:G51)</f>
        <v>26419.89</v>
      </c>
      <c r="H46" s="67">
        <f>SUM(H47:H51)</f>
        <v>30048.567999999999</v>
      </c>
      <c r="I46" s="67">
        <f>SUM(I47:I51)</f>
        <v>37496.752</v>
      </c>
      <c r="J46" s="67">
        <f>SUM(J47:J51)</f>
        <v>40418.49</v>
      </c>
      <c r="K46" s="67">
        <f>SUM(K47:K51)</f>
        <v>40418.49</v>
      </c>
      <c r="L46" s="169" t="s">
        <v>487</v>
      </c>
      <c r="M46" s="161" t="s">
        <v>200</v>
      </c>
    </row>
    <row r="47" spans="1:13" s="82" customFormat="1" ht="25.5">
      <c r="A47" s="167"/>
      <c r="B47" s="160"/>
      <c r="C47" s="161"/>
      <c r="D47" s="99" t="s">
        <v>24</v>
      </c>
      <c r="E47" s="67">
        <v>0</v>
      </c>
      <c r="F47" s="67">
        <f t="shared" si="8"/>
        <v>0</v>
      </c>
      <c r="G47" s="67">
        <v>0</v>
      </c>
      <c r="H47" s="67">
        <v>0</v>
      </c>
      <c r="I47" s="67">
        <v>0</v>
      </c>
      <c r="J47" s="67">
        <v>0</v>
      </c>
      <c r="K47" s="67">
        <v>0</v>
      </c>
      <c r="L47" s="170"/>
      <c r="M47" s="162"/>
    </row>
    <row r="48" spans="1:13" s="82" customFormat="1" ht="25.5">
      <c r="A48" s="167"/>
      <c r="B48" s="160"/>
      <c r="C48" s="161"/>
      <c r="D48" s="99" t="s">
        <v>5</v>
      </c>
      <c r="E48" s="67">
        <v>0</v>
      </c>
      <c r="F48" s="67">
        <f t="shared" si="8"/>
        <v>70</v>
      </c>
      <c r="G48" s="67">
        <v>0</v>
      </c>
      <c r="H48" s="67">
        <v>0</v>
      </c>
      <c r="I48" s="67">
        <v>70</v>
      </c>
      <c r="J48" s="67">
        <v>0</v>
      </c>
      <c r="K48" s="67">
        <v>0</v>
      </c>
      <c r="L48" s="170"/>
      <c r="M48" s="162"/>
    </row>
    <row r="49" spans="1:13" s="82" customFormat="1" ht="38.25">
      <c r="A49" s="167"/>
      <c r="B49" s="160"/>
      <c r="C49" s="161"/>
      <c r="D49" s="99" t="s">
        <v>71</v>
      </c>
      <c r="E49" s="67">
        <v>0</v>
      </c>
      <c r="F49" s="67">
        <f t="shared" si="8"/>
        <v>0</v>
      </c>
      <c r="G49" s="67">
        <v>0</v>
      </c>
      <c r="H49" s="67">
        <v>0</v>
      </c>
      <c r="I49" s="67">
        <v>0</v>
      </c>
      <c r="J49" s="67">
        <v>0</v>
      </c>
      <c r="K49" s="67">
        <v>0</v>
      </c>
      <c r="L49" s="170"/>
      <c r="M49" s="162"/>
    </row>
    <row r="50" spans="1:13" s="82" customFormat="1" ht="56.25" customHeight="1">
      <c r="A50" s="163"/>
      <c r="B50" s="163"/>
      <c r="C50" s="163"/>
      <c r="D50" s="99" t="s">
        <v>25</v>
      </c>
      <c r="E50" s="67">
        <v>11405.58</v>
      </c>
      <c r="F50" s="67">
        <f t="shared" si="8"/>
        <v>174732.18999999997</v>
      </c>
      <c r="G50" s="67">
        <v>26419.89</v>
      </c>
      <c r="H50" s="67">
        <f>30048568/1000</f>
        <v>30048.567999999999</v>
      </c>
      <c r="I50" s="67">
        <f>34638.79+237.1+2550.862</f>
        <v>37426.752</v>
      </c>
      <c r="J50" s="67">
        <v>40418.49</v>
      </c>
      <c r="K50" s="67">
        <f>J50</f>
        <v>40418.49</v>
      </c>
      <c r="L50" s="170"/>
      <c r="M50" s="162"/>
    </row>
    <row r="51" spans="1:13" s="82" customFormat="1" ht="25.5">
      <c r="A51" s="163"/>
      <c r="B51" s="163"/>
      <c r="C51" s="163"/>
      <c r="D51" s="99" t="s">
        <v>26</v>
      </c>
      <c r="E51" s="67">
        <v>0</v>
      </c>
      <c r="F51" s="67">
        <f t="shared" si="8"/>
        <v>0</v>
      </c>
      <c r="G51" s="67">
        <v>0</v>
      </c>
      <c r="H51" s="67">
        <v>0</v>
      </c>
      <c r="I51" s="67">
        <v>0</v>
      </c>
      <c r="J51" s="67">
        <v>0</v>
      </c>
      <c r="K51" s="67">
        <v>0</v>
      </c>
      <c r="L51" s="171"/>
      <c r="M51" s="162"/>
    </row>
    <row r="52" spans="1:13" s="82" customFormat="1" ht="15" customHeight="1">
      <c r="A52" s="167" t="s">
        <v>257</v>
      </c>
      <c r="B52" s="160" t="s">
        <v>259</v>
      </c>
      <c r="C52" s="161" t="s">
        <v>43</v>
      </c>
      <c r="D52" s="99" t="s">
        <v>11</v>
      </c>
      <c r="E52" s="67">
        <f>SUM(E53:E57)</f>
        <v>0</v>
      </c>
      <c r="F52" s="67">
        <f t="shared" si="8"/>
        <v>100</v>
      </c>
      <c r="G52" s="67">
        <f>SUM(G53:G57)</f>
        <v>0</v>
      </c>
      <c r="H52" s="67">
        <f>SUM(H53:H57)</f>
        <v>100</v>
      </c>
      <c r="I52" s="67">
        <f>SUM(I53:I57)</f>
        <v>0</v>
      </c>
      <c r="J52" s="67">
        <f>SUM(J53:J57)</f>
        <v>0</v>
      </c>
      <c r="K52" s="67">
        <f>SUM(K53:K57)</f>
        <v>0</v>
      </c>
      <c r="L52" s="169" t="s">
        <v>487</v>
      </c>
      <c r="M52" s="161" t="s">
        <v>200</v>
      </c>
    </row>
    <row r="53" spans="1:13" s="82" customFormat="1" ht="25.5">
      <c r="A53" s="167"/>
      <c r="B53" s="160"/>
      <c r="C53" s="161"/>
      <c r="D53" s="99" t="s">
        <v>24</v>
      </c>
      <c r="E53" s="67">
        <v>0</v>
      </c>
      <c r="F53" s="67">
        <f t="shared" si="8"/>
        <v>100</v>
      </c>
      <c r="G53" s="67">
        <v>0</v>
      </c>
      <c r="H53" s="67">
        <v>100</v>
      </c>
      <c r="I53" s="67">
        <v>0</v>
      </c>
      <c r="J53" s="67">
        <v>0</v>
      </c>
      <c r="K53" s="67">
        <v>0</v>
      </c>
      <c r="L53" s="170"/>
      <c r="M53" s="162"/>
    </row>
    <row r="54" spans="1:13" s="82" customFormat="1" ht="25.5">
      <c r="A54" s="167"/>
      <c r="B54" s="160"/>
      <c r="C54" s="161"/>
      <c r="D54" s="99" t="s">
        <v>5</v>
      </c>
      <c r="E54" s="67">
        <v>0</v>
      </c>
      <c r="F54" s="67">
        <f t="shared" si="8"/>
        <v>0</v>
      </c>
      <c r="G54" s="67">
        <v>0</v>
      </c>
      <c r="H54" s="67">
        <v>0</v>
      </c>
      <c r="I54" s="67">
        <v>0</v>
      </c>
      <c r="J54" s="67">
        <v>0</v>
      </c>
      <c r="K54" s="67">
        <v>0</v>
      </c>
      <c r="L54" s="170"/>
      <c r="M54" s="162"/>
    </row>
    <row r="55" spans="1:13" s="82" customFormat="1" ht="38.25">
      <c r="A55" s="167"/>
      <c r="B55" s="160"/>
      <c r="C55" s="161"/>
      <c r="D55" s="99" t="s">
        <v>71</v>
      </c>
      <c r="E55" s="67">
        <v>0</v>
      </c>
      <c r="F55" s="67">
        <f t="shared" si="8"/>
        <v>0</v>
      </c>
      <c r="G55" s="67">
        <v>0</v>
      </c>
      <c r="H55" s="67">
        <v>0</v>
      </c>
      <c r="I55" s="67">
        <v>0</v>
      </c>
      <c r="J55" s="67">
        <v>0</v>
      </c>
      <c r="K55" s="67">
        <v>0</v>
      </c>
      <c r="L55" s="170"/>
      <c r="M55" s="162"/>
    </row>
    <row r="56" spans="1:13" s="82" customFormat="1" ht="38.25" customHeight="1">
      <c r="A56" s="163"/>
      <c r="B56" s="163"/>
      <c r="C56" s="163"/>
      <c r="D56" s="99" t="s">
        <v>25</v>
      </c>
      <c r="E56" s="67">
        <v>0</v>
      </c>
      <c r="F56" s="67">
        <f t="shared" ref="F56:F63" si="9">SUM(G56:K56)</f>
        <v>0</v>
      </c>
      <c r="G56" s="67">
        <v>0</v>
      </c>
      <c r="H56" s="67">
        <v>0</v>
      </c>
      <c r="I56" s="67">
        <v>0</v>
      </c>
      <c r="J56" s="67">
        <f>I56</f>
        <v>0</v>
      </c>
      <c r="K56" s="67">
        <f>J56</f>
        <v>0</v>
      </c>
      <c r="L56" s="170"/>
      <c r="M56" s="162"/>
    </row>
    <row r="57" spans="1:13" s="82" customFormat="1" ht="25.5">
      <c r="A57" s="163"/>
      <c r="B57" s="163"/>
      <c r="C57" s="163"/>
      <c r="D57" s="99" t="s">
        <v>26</v>
      </c>
      <c r="E57" s="67">
        <v>0</v>
      </c>
      <c r="F57" s="67">
        <f t="shared" si="9"/>
        <v>0</v>
      </c>
      <c r="G57" s="67">
        <v>0</v>
      </c>
      <c r="H57" s="67">
        <v>0</v>
      </c>
      <c r="I57" s="67">
        <v>0</v>
      </c>
      <c r="J57" s="67">
        <v>0</v>
      </c>
      <c r="K57" s="67">
        <v>0</v>
      </c>
      <c r="L57" s="171"/>
      <c r="M57" s="162"/>
    </row>
    <row r="58" spans="1:13" s="82" customFormat="1" ht="15" customHeight="1">
      <c r="A58" s="167" t="s">
        <v>258</v>
      </c>
      <c r="B58" s="160" t="s">
        <v>260</v>
      </c>
      <c r="C58" s="161" t="s">
        <v>43</v>
      </c>
      <c r="D58" s="99" t="s">
        <v>11</v>
      </c>
      <c r="E58" s="67">
        <f>SUM(E59:E63)</f>
        <v>0</v>
      </c>
      <c r="F58" s="67">
        <f t="shared" si="9"/>
        <v>200</v>
      </c>
      <c r="G58" s="67">
        <f>SUM(G59:G63)</f>
        <v>0</v>
      </c>
      <c r="H58" s="67">
        <f>SUM(H59:H63)</f>
        <v>200</v>
      </c>
      <c r="I58" s="67">
        <f>SUM(I59:I63)</f>
        <v>0</v>
      </c>
      <c r="J58" s="67">
        <f>SUM(J59:J63)</f>
        <v>0</v>
      </c>
      <c r="K58" s="67">
        <f>SUM(K59:K63)</f>
        <v>0</v>
      </c>
      <c r="L58" s="169" t="s">
        <v>487</v>
      </c>
      <c r="M58" s="161" t="s">
        <v>200</v>
      </c>
    </row>
    <row r="59" spans="1:13" s="82" customFormat="1" ht="25.5">
      <c r="A59" s="167"/>
      <c r="B59" s="160"/>
      <c r="C59" s="161"/>
      <c r="D59" s="99" t="s">
        <v>24</v>
      </c>
      <c r="E59" s="67">
        <v>0</v>
      </c>
      <c r="F59" s="67">
        <f t="shared" si="9"/>
        <v>200</v>
      </c>
      <c r="G59" s="67">
        <v>0</v>
      </c>
      <c r="H59" s="67">
        <v>200</v>
      </c>
      <c r="I59" s="67">
        <v>0</v>
      </c>
      <c r="J59" s="67">
        <v>0</v>
      </c>
      <c r="K59" s="67">
        <v>0</v>
      </c>
      <c r="L59" s="170"/>
      <c r="M59" s="162"/>
    </row>
    <row r="60" spans="1:13" s="82" customFormat="1" ht="25.5">
      <c r="A60" s="167"/>
      <c r="B60" s="160"/>
      <c r="C60" s="161"/>
      <c r="D60" s="99" t="s">
        <v>5</v>
      </c>
      <c r="E60" s="67">
        <v>0</v>
      </c>
      <c r="F60" s="67">
        <f t="shared" si="9"/>
        <v>0</v>
      </c>
      <c r="G60" s="67">
        <v>0</v>
      </c>
      <c r="H60" s="67">
        <v>0</v>
      </c>
      <c r="I60" s="67">
        <v>0</v>
      </c>
      <c r="J60" s="67">
        <v>0</v>
      </c>
      <c r="K60" s="67">
        <v>0</v>
      </c>
      <c r="L60" s="170"/>
      <c r="M60" s="162"/>
    </row>
    <row r="61" spans="1:13" s="82" customFormat="1" ht="38.25">
      <c r="A61" s="167"/>
      <c r="B61" s="160"/>
      <c r="C61" s="161"/>
      <c r="D61" s="99" t="s">
        <v>71</v>
      </c>
      <c r="E61" s="67">
        <v>0</v>
      </c>
      <c r="F61" s="67">
        <f t="shared" si="9"/>
        <v>0</v>
      </c>
      <c r="G61" s="67">
        <v>0</v>
      </c>
      <c r="H61" s="67">
        <v>0</v>
      </c>
      <c r="I61" s="67">
        <v>0</v>
      </c>
      <c r="J61" s="67">
        <v>0</v>
      </c>
      <c r="K61" s="67">
        <v>0</v>
      </c>
      <c r="L61" s="170"/>
      <c r="M61" s="162"/>
    </row>
    <row r="62" spans="1:13" s="82" customFormat="1" ht="38.25" customHeight="1">
      <c r="A62" s="163"/>
      <c r="B62" s="163"/>
      <c r="C62" s="163"/>
      <c r="D62" s="99" t="s">
        <v>25</v>
      </c>
      <c r="E62" s="67">
        <v>0</v>
      </c>
      <c r="F62" s="67">
        <f t="shared" si="9"/>
        <v>0</v>
      </c>
      <c r="G62" s="67">
        <v>0</v>
      </c>
      <c r="H62" s="67">
        <v>0</v>
      </c>
      <c r="I62" s="67">
        <v>0</v>
      </c>
      <c r="J62" s="67">
        <v>0</v>
      </c>
      <c r="K62" s="67">
        <f>J62</f>
        <v>0</v>
      </c>
      <c r="L62" s="170"/>
      <c r="M62" s="162"/>
    </row>
    <row r="63" spans="1:13" s="82" customFormat="1" ht="25.5">
      <c r="A63" s="163"/>
      <c r="B63" s="163"/>
      <c r="C63" s="163"/>
      <c r="D63" s="99" t="s">
        <v>26</v>
      </c>
      <c r="E63" s="67">
        <v>0</v>
      </c>
      <c r="F63" s="67">
        <f t="shared" si="9"/>
        <v>0</v>
      </c>
      <c r="G63" s="67">
        <v>0</v>
      </c>
      <c r="H63" s="67">
        <v>0</v>
      </c>
      <c r="I63" s="67">
        <v>0</v>
      </c>
      <c r="J63" s="67">
        <v>0</v>
      </c>
      <c r="K63" s="67">
        <v>0</v>
      </c>
      <c r="L63" s="171"/>
      <c r="M63" s="162"/>
    </row>
    <row r="64" spans="1:13" s="153" customFormat="1">
      <c r="A64" s="167" t="s">
        <v>526</v>
      </c>
      <c r="B64" s="160" t="s">
        <v>541</v>
      </c>
      <c r="C64" s="161" t="s">
        <v>44</v>
      </c>
      <c r="D64" s="149" t="s">
        <v>11</v>
      </c>
      <c r="E64" s="67">
        <f>SUM(E65:E69)</f>
        <v>0</v>
      </c>
      <c r="F64" s="67">
        <f t="shared" ref="F64:F69" si="10">SUM(G64:K64)</f>
        <v>50</v>
      </c>
      <c r="G64" s="67">
        <f>SUM(G65:G69)</f>
        <v>0</v>
      </c>
      <c r="H64" s="67">
        <f>SUM(H65:H69)</f>
        <v>0</v>
      </c>
      <c r="I64" s="67">
        <f>SUM(I65:I69)</f>
        <v>50</v>
      </c>
      <c r="J64" s="67">
        <f>SUM(J65:J69)</f>
        <v>0</v>
      </c>
      <c r="K64" s="67">
        <f>SUM(K65:K69)</f>
        <v>0</v>
      </c>
      <c r="L64" s="169" t="s">
        <v>487</v>
      </c>
      <c r="M64" s="161" t="s">
        <v>200</v>
      </c>
    </row>
    <row r="65" spans="1:13" s="153" customFormat="1" ht="25.5">
      <c r="A65" s="167"/>
      <c r="B65" s="160"/>
      <c r="C65" s="161"/>
      <c r="D65" s="149" t="s">
        <v>24</v>
      </c>
      <c r="E65" s="67">
        <v>0</v>
      </c>
      <c r="F65" s="67">
        <f t="shared" si="10"/>
        <v>50</v>
      </c>
      <c r="G65" s="67">
        <v>0</v>
      </c>
      <c r="H65" s="67">
        <v>0</v>
      </c>
      <c r="I65" s="67">
        <v>50</v>
      </c>
      <c r="J65" s="67">
        <v>0</v>
      </c>
      <c r="K65" s="67">
        <v>0</v>
      </c>
      <c r="L65" s="170"/>
      <c r="M65" s="162"/>
    </row>
    <row r="66" spans="1:13" s="153" customFormat="1" ht="25.5">
      <c r="A66" s="167"/>
      <c r="B66" s="160"/>
      <c r="C66" s="161"/>
      <c r="D66" s="149" t="s">
        <v>5</v>
      </c>
      <c r="E66" s="67">
        <v>0</v>
      </c>
      <c r="F66" s="67">
        <f t="shared" si="10"/>
        <v>0</v>
      </c>
      <c r="G66" s="67">
        <v>0</v>
      </c>
      <c r="H66" s="67">
        <v>0</v>
      </c>
      <c r="I66" s="67">
        <v>0</v>
      </c>
      <c r="J66" s="67">
        <v>0</v>
      </c>
      <c r="K66" s="67">
        <v>0</v>
      </c>
      <c r="L66" s="170"/>
      <c r="M66" s="162"/>
    </row>
    <row r="67" spans="1:13" s="153" customFormat="1" ht="38.25">
      <c r="A67" s="167"/>
      <c r="B67" s="160"/>
      <c r="C67" s="161"/>
      <c r="D67" s="149" t="s">
        <v>71</v>
      </c>
      <c r="E67" s="67">
        <v>0</v>
      </c>
      <c r="F67" s="67">
        <f t="shared" si="10"/>
        <v>0</v>
      </c>
      <c r="G67" s="67">
        <v>0</v>
      </c>
      <c r="H67" s="67">
        <v>0</v>
      </c>
      <c r="I67" s="67">
        <v>0</v>
      </c>
      <c r="J67" s="67">
        <v>0</v>
      </c>
      <c r="K67" s="67">
        <v>0</v>
      </c>
      <c r="L67" s="170"/>
      <c r="M67" s="162"/>
    </row>
    <row r="68" spans="1:13" s="153" customFormat="1" ht="38.25">
      <c r="A68" s="163"/>
      <c r="B68" s="163"/>
      <c r="C68" s="163"/>
      <c r="D68" s="149" t="s">
        <v>25</v>
      </c>
      <c r="E68" s="67">
        <v>0</v>
      </c>
      <c r="F68" s="67">
        <f t="shared" si="10"/>
        <v>0</v>
      </c>
      <c r="G68" s="67">
        <v>0</v>
      </c>
      <c r="H68" s="67">
        <v>0</v>
      </c>
      <c r="I68" s="67">
        <v>0</v>
      </c>
      <c r="J68" s="67">
        <v>0</v>
      </c>
      <c r="K68" s="67">
        <f>J68</f>
        <v>0</v>
      </c>
      <c r="L68" s="170"/>
      <c r="M68" s="162"/>
    </row>
    <row r="69" spans="1:13" s="153" customFormat="1" ht="25.5">
      <c r="A69" s="163"/>
      <c r="B69" s="163"/>
      <c r="C69" s="163"/>
      <c r="D69" s="149" t="s">
        <v>26</v>
      </c>
      <c r="E69" s="67">
        <v>0</v>
      </c>
      <c r="F69" s="67">
        <f t="shared" si="10"/>
        <v>0</v>
      </c>
      <c r="G69" s="67">
        <v>0</v>
      </c>
      <c r="H69" s="67">
        <v>0</v>
      </c>
      <c r="I69" s="67">
        <v>0</v>
      </c>
      <c r="J69" s="67">
        <v>0</v>
      </c>
      <c r="K69" s="67">
        <v>0</v>
      </c>
      <c r="L69" s="171"/>
      <c r="M69" s="162"/>
    </row>
    <row r="70" spans="1:13" s="82" customFormat="1" ht="15" customHeight="1">
      <c r="A70" s="168" t="s">
        <v>28</v>
      </c>
      <c r="B70" s="164" t="s">
        <v>263</v>
      </c>
      <c r="C70" s="161" t="s">
        <v>3</v>
      </c>
      <c r="D70" s="97" t="s">
        <v>4</v>
      </c>
      <c r="E70" s="54">
        <f>E72+E73</f>
        <v>399.79</v>
      </c>
      <c r="F70" s="54">
        <f t="shared" ref="F70:F93" si="11">SUM(G70:K70)</f>
        <v>2000</v>
      </c>
      <c r="G70" s="54">
        <f>SUM(G71:G75)</f>
        <v>400</v>
      </c>
      <c r="H70" s="54">
        <f>SUM(H71:H75)</f>
        <v>400</v>
      </c>
      <c r="I70" s="54">
        <f>SUM(I71:I75)</f>
        <v>400</v>
      </c>
      <c r="J70" s="54">
        <f>SUM(J71:J75)</f>
        <v>400</v>
      </c>
      <c r="K70" s="54">
        <f>SUM(K71:K75)</f>
        <v>400</v>
      </c>
      <c r="L70" s="169" t="s">
        <v>487</v>
      </c>
      <c r="M70" s="169" t="s">
        <v>80</v>
      </c>
    </row>
    <row r="71" spans="1:13" s="82" customFormat="1" ht="25.5">
      <c r="A71" s="168"/>
      <c r="B71" s="164"/>
      <c r="C71" s="161"/>
      <c r="D71" s="99" t="s">
        <v>24</v>
      </c>
      <c r="E71" s="67">
        <f>E77</f>
        <v>0</v>
      </c>
      <c r="F71" s="67">
        <f t="shared" si="11"/>
        <v>0</v>
      </c>
      <c r="G71" s="67">
        <f t="shared" ref="G71:K73" si="12">G77</f>
        <v>0</v>
      </c>
      <c r="H71" s="67">
        <f t="shared" si="12"/>
        <v>0</v>
      </c>
      <c r="I71" s="67">
        <f t="shared" si="12"/>
        <v>0</v>
      </c>
      <c r="J71" s="67">
        <f t="shared" si="12"/>
        <v>0</v>
      </c>
      <c r="K71" s="67">
        <f t="shared" si="12"/>
        <v>0</v>
      </c>
      <c r="L71" s="170"/>
      <c r="M71" s="170"/>
    </row>
    <row r="72" spans="1:13" s="82" customFormat="1" ht="25.5">
      <c r="A72" s="168"/>
      <c r="B72" s="165"/>
      <c r="C72" s="161"/>
      <c r="D72" s="99" t="s">
        <v>5</v>
      </c>
      <c r="E72" s="67">
        <f>E78</f>
        <v>0</v>
      </c>
      <c r="F72" s="67">
        <f t="shared" si="11"/>
        <v>0</v>
      </c>
      <c r="G72" s="67">
        <f t="shared" si="12"/>
        <v>0</v>
      </c>
      <c r="H72" s="67">
        <f t="shared" si="12"/>
        <v>0</v>
      </c>
      <c r="I72" s="67">
        <f t="shared" si="12"/>
        <v>0</v>
      </c>
      <c r="J72" s="67">
        <f t="shared" si="12"/>
        <v>0</v>
      </c>
      <c r="K72" s="67">
        <f t="shared" si="12"/>
        <v>0</v>
      </c>
      <c r="L72" s="170"/>
      <c r="M72" s="170"/>
    </row>
    <row r="73" spans="1:13" s="82" customFormat="1" ht="38.25">
      <c r="A73" s="168"/>
      <c r="B73" s="165"/>
      <c r="C73" s="161"/>
      <c r="D73" s="99" t="s">
        <v>71</v>
      </c>
      <c r="E73" s="67">
        <f>E79</f>
        <v>399.79</v>
      </c>
      <c r="F73" s="67">
        <f t="shared" si="11"/>
        <v>2000</v>
      </c>
      <c r="G73" s="67">
        <f t="shared" si="12"/>
        <v>400</v>
      </c>
      <c r="H73" s="67">
        <f t="shared" si="12"/>
        <v>400</v>
      </c>
      <c r="I73" s="67">
        <f t="shared" si="12"/>
        <v>400</v>
      </c>
      <c r="J73" s="67">
        <f t="shared" si="12"/>
        <v>400</v>
      </c>
      <c r="K73" s="67">
        <f t="shared" si="12"/>
        <v>400</v>
      </c>
      <c r="L73" s="170"/>
      <c r="M73" s="170"/>
    </row>
    <row r="74" spans="1:13" s="82" customFormat="1" ht="38.25" customHeight="1">
      <c r="A74" s="163"/>
      <c r="B74" s="166"/>
      <c r="C74" s="163"/>
      <c r="D74" s="99" t="s">
        <v>25</v>
      </c>
      <c r="E74" s="67">
        <f>E80</f>
        <v>0</v>
      </c>
      <c r="F74" s="67">
        <f t="shared" si="11"/>
        <v>0</v>
      </c>
      <c r="G74" s="67">
        <v>0</v>
      </c>
      <c r="H74" s="67">
        <f t="shared" ref="H74:K75" si="13">H80</f>
        <v>0</v>
      </c>
      <c r="I74" s="67">
        <f t="shared" si="13"/>
        <v>0</v>
      </c>
      <c r="J74" s="67">
        <f t="shared" si="13"/>
        <v>0</v>
      </c>
      <c r="K74" s="67">
        <f t="shared" si="13"/>
        <v>0</v>
      </c>
      <c r="L74" s="170"/>
      <c r="M74" s="170"/>
    </row>
    <row r="75" spans="1:13" s="82" customFormat="1" ht="25.5">
      <c r="A75" s="163"/>
      <c r="B75" s="166"/>
      <c r="C75" s="163"/>
      <c r="D75" s="99" t="s">
        <v>26</v>
      </c>
      <c r="E75" s="67">
        <f>E81</f>
        <v>0</v>
      </c>
      <c r="F75" s="67">
        <f t="shared" si="11"/>
        <v>0</v>
      </c>
      <c r="G75" s="67">
        <v>0</v>
      </c>
      <c r="H75" s="67">
        <f t="shared" si="13"/>
        <v>0</v>
      </c>
      <c r="I75" s="67">
        <f t="shared" si="13"/>
        <v>0</v>
      </c>
      <c r="J75" s="67">
        <f t="shared" si="13"/>
        <v>0</v>
      </c>
      <c r="K75" s="67">
        <f t="shared" si="13"/>
        <v>0</v>
      </c>
      <c r="L75" s="171"/>
      <c r="M75" s="171"/>
    </row>
    <row r="76" spans="1:13" s="82" customFormat="1" ht="15" customHeight="1">
      <c r="A76" s="167" t="s">
        <v>9</v>
      </c>
      <c r="B76" s="160" t="s">
        <v>78</v>
      </c>
      <c r="C76" s="161" t="s">
        <v>3</v>
      </c>
      <c r="D76" s="99" t="s">
        <v>4</v>
      </c>
      <c r="E76" s="67">
        <f>E78+E79</f>
        <v>399.79</v>
      </c>
      <c r="F76" s="67">
        <f t="shared" si="11"/>
        <v>2000</v>
      </c>
      <c r="G76" s="67">
        <f>SUM(G77:G81)</f>
        <v>400</v>
      </c>
      <c r="H76" s="67">
        <f>SUM(H77:H81)</f>
        <v>400</v>
      </c>
      <c r="I76" s="67">
        <f>SUM(I77:I81)</f>
        <v>400</v>
      </c>
      <c r="J76" s="67">
        <f>SUM(J77:J81)</f>
        <v>400</v>
      </c>
      <c r="K76" s="67">
        <f>SUM(K77:K81)</f>
        <v>400</v>
      </c>
      <c r="L76" s="169" t="s">
        <v>487</v>
      </c>
      <c r="M76" s="169" t="s">
        <v>201</v>
      </c>
    </row>
    <row r="77" spans="1:13" s="82" customFormat="1" ht="25.5">
      <c r="A77" s="167"/>
      <c r="B77" s="160"/>
      <c r="C77" s="161"/>
      <c r="D77" s="99" t="s">
        <v>24</v>
      </c>
      <c r="E77" s="67">
        <v>0</v>
      </c>
      <c r="F77" s="67">
        <f t="shared" si="11"/>
        <v>0</v>
      </c>
      <c r="G77" s="67">
        <v>0</v>
      </c>
      <c r="H77" s="67">
        <v>0</v>
      </c>
      <c r="I77" s="67">
        <v>0</v>
      </c>
      <c r="J77" s="67">
        <v>0</v>
      </c>
      <c r="K77" s="67">
        <v>0</v>
      </c>
      <c r="L77" s="170"/>
      <c r="M77" s="170"/>
    </row>
    <row r="78" spans="1:13" s="82" customFormat="1" ht="25.5">
      <c r="A78" s="167"/>
      <c r="B78" s="160"/>
      <c r="C78" s="161"/>
      <c r="D78" s="99" t="s">
        <v>5</v>
      </c>
      <c r="E78" s="67">
        <v>0</v>
      </c>
      <c r="F78" s="67">
        <f t="shared" si="11"/>
        <v>0</v>
      </c>
      <c r="G78" s="67">
        <v>0</v>
      </c>
      <c r="H78" s="67">
        <v>0</v>
      </c>
      <c r="I78" s="67">
        <v>0</v>
      </c>
      <c r="J78" s="67">
        <v>0</v>
      </c>
      <c r="K78" s="67">
        <v>0</v>
      </c>
      <c r="L78" s="170"/>
      <c r="M78" s="170"/>
    </row>
    <row r="79" spans="1:13" s="82" customFormat="1" ht="38.25">
      <c r="A79" s="167"/>
      <c r="B79" s="160"/>
      <c r="C79" s="161"/>
      <c r="D79" s="99" t="s">
        <v>71</v>
      </c>
      <c r="E79" s="67">
        <v>399.79</v>
      </c>
      <c r="F79" s="67">
        <f t="shared" si="11"/>
        <v>2000</v>
      </c>
      <c r="G79" s="67">
        <v>400</v>
      </c>
      <c r="H79" s="67">
        <v>400</v>
      </c>
      <c r="I79" s="67">
        <v>400</v>
      </c>
      <c r="J79" s="67">
        <v>400</v>
      </c>
      <c r="K79" s="67">
        <v>400</v>
      </c>
      <c r="L79" s="170"/>
      <c r="M79" s="170"/>
    </row>
    <row r="80" spans="1:13" s="82" customFormat="1" ht="38.25" customHeight="1">
      <c r="A80" s="163"/>
      <c r="B80" s="163"/>
      <c r="C80" s="163"/>
      <c r="D80" s="99" t="s">
        <v>25</v>
      </c>
      <c r="E80" s="67">
        <v>0</v>
      </c>
      <c r="F80" s="67">
        <f t="shared" si="11"/>
        <v>0</v>
      </c>
      <c r="G80" s="67">
        <v>0</v>
      </c>
      <c r="H80" s="67">
        <v>0</v>
      </c>
      <c r="I80" s="67">
        <v>0</v>
      </c>
      <c r="J80" s="67">
        <v>0</v>
      </c>
      <c r="K80" s="67">
        <v>0</v>
      </c>
      <c r="L80" s="170"/>
      <c r="M80" s="170"/>
    </row>
    <row r="81" spans="1:13" s="82" customFormat="1" ht="25.5">
      <c r="A81" s="163"/>
      <c r="B81" s="163"/>
      <c r="C81" s="163"/>
      <c r="D81" s="99" t="s">
        <v>26</v>
      </c>
      <c r="E81" s="67">
        <v>0</v>
      </c>
      <c r="F81" s="67">
        <f t="shared" si="11"/>
        <v>0</v>
      </c>
      <c r="G81" s="67">
        <v>0</v>
      </c>
      <c r="H81" s="67">
        <v>0</v>
      </c>
      <c r="I81" s="67">
        <v>0</v>
      </c>
      <c r="J81" s="67">
        <v>0</v>
      </c>
      <c r="K81" s="67">
        <v>0</v>
      </c>
      <c r="L81" s="171"/>
      <c r="M81" s="171"/>
    </row>
    <row r="82" spans="1:13" s="82" customFormat="1" ht="15" customHeight="1">
      <c r="A82" s="167" t="s">
        <v>10</v>
      </c>
      <c r="B82" s="164" t="s">
        <v>264</v>
      </c>
      <c r="C82" s="161" t="s">
        <v>42</v>
      </c>
      <c r="D82" s="97" t="s">
        <v>4</v>
      </c>
      <c r="E82" s="54">
        <f>SUM(E83:E87)</f>
        <v>0</v>
      </c>
      <c r="F82" s="54">
        <f t="shared" si="11"/>
        <v>522.31999999999994</v>
      </c>
      <c r="G82" s="54">
        <f>SUM(G83:G87)</f>
        <v>522.31999999999994</v>
      </c>
      <c r="H82" s="67" t="s">
        <v>55</v>
      </c>
      <c r="I82" s="67" t="s">
        <v>55</v>
      </c>
      <c r="J82" s="67" t="s">
        <v>55</v>
      </c>
      <c r="K82" s="67" t="s">
        <v>55</v>
      </c>
      <c r="L82" s="169" t="s">
        <v>487</v>
      </c>
      <c r="M82" s="169" t="s">
        <v>81</v>
      </c>
    </row>
    <row r="83" spans="1:13" s="82" customFormat="1" ht="25.5">
      <c r="A83" s="167"/>
      <c r="B83" s="164"/>
      <c r="C83" s="161"/>
      <c r="D83" s="99" t="s">
        <v>24</v>
      </c>
      <c r="E83" s="67">
        <f>E89</f>
        <v>0</v>
      </c>
      <c r="F83" s="67">
        <f t="shared" si="11"/>
        <v>0</v>
      </c>
      <c r="G83" s="67">
        <f>G89</f>
        <v>0</v>
      </c>
      <c r="H83" s="67" t="s">
        <v>55</v>
      </c>
      <c r="I83" s="67" t="s">
        <v>55</v>
      </c>
      <c r="J83" s="67" t="s">
        <v>55</v>
      </c>
      <c r="K83" s="67" t="s">
        <v>55</v>
      </c>
      <c r="L83" s="170"/>
      <c r="M83" s="170"/>
    </row>
    <row r="84" spans="1:13" s="82" customFormat="1" ht="25.5">
      <c r="A84" s="167"/>
      <c r="B84" s="165"/>
      <c r="C84" s="161"/>
      <c r="D84" s="99" t="s">
        <v>5</v>
      </c>
      <c r="E84" s="67">
        <f>E90</f>
        <v>0</v>
      </c>
      <c r="F84" s="67">
        <f t="shared" si="11"/>
        <v>496.2</v>
      </c>
      <c r="G84" s="67">
        <f>G90</f>
        <v>496.2</v>
      </c>
      <c r="H84" s="67" t="s">
        <v>55</v>
      </c>
      <c r="I84" s="67" t="s">
        <v>55</v>
      </c>
      <c r="J84" s="67" t="s">
        <v>55</v>
      </c>
      <c r="K84" s="67" t="s">
        <v>55</v>
      </c>
      <c r="L84" s="170"/>
      <c r="M84" s="170"/>
    </row>
    <row r="85" spans="1:13" s="82" customFormat="1" ht="38.25">
      <c r="A85" s="167"/>
      <c r="B85" s="165"/>
      <c r="C85" s="161"/>
      <c r="D85" s="99" t="s">
        <v>71</v>
      </c>
      <c r="E85" s="67">
        <v>0</v>
      </c>
      <c r="F85" s="67">
        <f t="shared" si="11"/>
        <v>26.12</v>
      </c>
      <c r="G85" s="67">
        <f>G91</f>
        <v>26.12</v>
      </c>
      <c r="H85" s="67" t="s">
        <v>55</v>
      </c>
      <c r="I85" s="67" t="s">
        <v>55</v>
      </c>
      <c r="J85" s="67" t="s">
        <v>55</v>
      </c>
      <c r="K85" s="67" t="s">
        <v>55</v>
      </c>
      <c r="L85" s="170"/>
      <c r="M85" s="170"/>
    </row>
    <row r="86" spans="1:13" s="82" customFormat="1" ht="38.25" customHeight="1">
      <c r="A86" s="163"/>
      <c r="B86" s="166"/>
      <c r="C86" s="163"/>
      <c r="D86" s="99" t="s">
        <v>25</v>
      </c>
      <c r="E86" s="67">
        <f>E92</f>
        <v>0</v>
      </c>
      <c r="F86" s="67">
        <f t="shared" si="11"/>
        <v>0</v>
      </c>
      <c r="G86" s="67">
        <f>G92</f>
        <v>0</v>
      </c>
      <c r="H86" s="67" t="s">
        <v>55</v>
      </c>
      <c r="I86" s="67" t="s">
        <v>55</v>
      </c>
      <c r="J86" s="67" t="s">
        <v>55</v>
      </c>
      <c r="K86" s="67" t="s">
        <v>55</v>
      </c>
      <c r="L86" s="170"/>
      <c r="M86" s="170"/>
    </row>
    <row r="87" spans="1:13" s="82" customFormat="1" ht="25.5">
      <c r="A87" s="163"/>
      <c r="B87" s="166"/>
      <c r="C87" s="163"/>
      <c r="D87" s="99" t="s">
        <v>26</v>
      </c>
      <c r="E87" s="67">
        <f>E93</f>
        <v>0</v>
      </c>
      <c r="F87" s="67">
        <f t="shared" si="11"/>
        <v>0</v>
      </c>
      <c r="G87" s="67">
        <f>G93</f>
        <v>0</v>
      </c>
      <c r="H87" s="67" t="s">
        <v>55</v>
      </c>
      <c r="I87" s="67" t="s">
        <v>55</v>
      </c>
      <c r="J87" s="67" t="s">
        <v>55</v>
      </c>
      <c r="K87" s="67" t="s">
        <v>55</v>
      </c>
      <c r="L87" s="171"/>
      <c r="M87" s="171"/>
    </row>
    <row r="88" spans="1:13" s="82" customFormat="1" ht="15" customHeight="1">
      <c r="A88" s="167" t="s">
        <v>19</v>
      </c>
      <c r="B88" s="160" t="s">
        <v>79</v>
      </c>
      <c r="C88" s="161" t="s">
        <v>42</v>
      </c>
      <c r="D88" s="99" t="s">
        <v>4</v>
      </c>
      <c r="E88" s="67">
        <f>SUM(E89:E93)</f>
        <v>450</v>
      </c>
      <c r="F88" s="67">
        <f t="shared" si="11"/>
        <v>522.31999999999994</v>
      </c>
      <c r="G88" s="67">
        <f>SUM(G89:G93)</f>
        <v>522.31999999999994</v>
      </c>
      <c r="H88" s="67" t="s">
        <v>55</v>
      </c>
      <c r="I88" s="67" t="s">
        <v>55</v>
      </c>
      <c r="J88" s="67" t="s">
        <v>55</v>
      </c>
      <c r="K88" s="67" t="s">
        <v>55</v>
      </c>
      <c r="L88" s="169" t="s">
        <v>487</v>
      </c>
      <c r="M88" s="169" t="s">
        <v>82</v>
      </c>
    </row>
    <row r="89" spans="1:13" s="82" customFormat="1" ht="25.5">
      <c r="A89" s="167"/>
      <c r="B89" s="160"/>
      <c r="C89" s="161"/>
      <c r="D89" s="99" t="s">
        <v>24</v>
      </c>
      <c r="E89" s="67">
        <v>0</v>
      </c>
      <c r="F89" s="67">
        <f t="shared" si="11"/>
        <v>0</v>
      </c>
      <c r="G89" s="67">
        <v>0</v>
      </c>
      <c r="H89" s="67" t="s">
        <v>55</v>
      </c>
      <c r="I89" s="67" t="s">
        <v>55</v>
      </c>
      <c r="J89" s="67" t="s">
        <v>55</v>
      </c>
      <c r="K89" s="67" t="s">
        <v>55</v>
      </c>
      <c r="L89" s="170"/>
      <c r="M89" s="170"/>
    </row>
    <row r="90" spans="1:13" s="82" customFormat="1" ht="25.5">
      <c r="A90" s="167"/>
      <c r="B90" s="165"/>
      <c r="C90" s="161"/>
      <c r="D90" s="99" t="s">
        <v>5</v>
      </c>
      <c r="E90" s="67">
        <v>0</v>
      </c>
      <c r="F90" s="67">
        <f t="shared" si="11"/>
        <v>496.2</v>
      </c>
      <c r="G90" s="67">
        <v>496.2</v>
      </c>
      <c r="H90" s="67" t="s">
        <v>55</v>
      </c>
      <c r="I90" s="67" t="s">
        <v>55</v>
      </c>
      <c r="J90" s="67" t="s">
        <v>55</v>
      </c>
      <c r="K90" s="67" t="s">
        <v>55</v>
      </c>
      <c r="L90" s="170"/>
      <c r="M90" s="170"/>
    </row>
    <row r="91" spans="1:13" s="82" customFormat="1" ht="38.25">
      <c r="A91" s="167"/>
      <c r="B91" s="165"/>
      <c r="C91" s="161"/>
      <c r="D91" s="99" t="s">
        <v>71</v>
      </c>
      <c r="E91" s="67">
        <v>450</v>
      </c>
      <c r="F91" s="67">
        <f t="shared" si="11"/>
        <v>26.12</v>
      </c>
      <c r="G91" s="67">
        <v>26.12</v>
      </c>
      <c r="H91" s="67" t="s">
        <v>55</v>
      </c>
      <c r="I91" s="67" t="s">
        <v>55</v>
      </c>
      <c r="J91" s="67" t="s">
        <v>55</v>
      </c>
      <c r="K91" s="67" t="s">
        <v>55</v>
      </c>
      <c r="L91" s="170"/>
      <c r="M91" s="170"/>
    </row>
    <row r="92" spans="1:13" s="82" customFormat="1" ht="38.25" customHeight="1">
      <c r="A92" s="163"/>
      <c r="B92" s="166"/>
      <c r="C92" s="163"/>
      <c r="D92" s="99" t="s">
        <v>25</v>
      </c>
      <c r="E92" s="67">
        <v>0</v>
      </c>
      <c r="F92" s="67">
        <f t="shared" si="11"/>
        <v>0</v>
      </c>
      <c r="G92" s="67">
        <v>0</v>
      </c>
      <c r="H92" s="67" t="s">
        <v>55</v>
      </c>
      <c r="I92" s="67" t="s">
        <v>55</v>
      </c>
      <c r="J92" s="67" t="s">
        <v>55</v>
      </c>
      <c r="K92" s="67" t="s">
        <v>55</v>
      </c>
      <c r="L92" s="170"/>
      <c r="M92" s="170"/>
    </row>
    <row r="93" spans="1:13" s="82" customFormat="1" ht="25.5">
      <c r="A93" s="163"/>
      <c r="B93" s="166"/>
      <c r="C93" s="163"/>
      <c r="D93" s="99" t="s">
        <v>26</v>
      </c>
      <c r="E93" s="67">
        <v>0</v>
      </c>
      <c r="F93" s="67">
        <f t="shared" si="11"/>
        <v>0</v>
      </c>
      <c r="G93" s="67">
        <v>0</v>
      </c>
      <c r="H93" s="67" t="s">
        <v>55</v>
      </c>
      <c r="I93" s="67" t="s">
        <v>55</v>
      </c>
      <c r="J93" s="67" t="s">
        <v>55</v>
      </c>
      <c r="K93" s="67" t="s">
        <v>55</v>
      </c>
      <c r="L93" s="171"/>
      <c r="M93" s="171"/>
    </row>
    <row r="94" spans="1:13" s="82" customFormat="1" ht="168" customHeight="1">
      <c r="A94" s="101" t="s">
        <v>29</v>
      </c>
      <c r="B94" s="143" t="s">
        <v>265</v>
      </c>
      <c r="C94" s="99" t="s">
        <v>261</v>
      </c>
      <c r="D94" s="97"/>
      <c r="E94" s="67" t="s">
        <v>84</v>
      </c>
      <c r="F94" s="67" t="s">
        <v>84</v>
      </c>
      <c r="G94" s="67" t="s">
        <v>84</v>
      </c>
      <c r="H94" s="67" t="s">
        <v>84</v>
      </c>
      <c r="I94" s="67" t="s">
        <v>84</v>
      </c>
      <c r="J94" s="67" t="s">
        <v>84</v>
      </c>
      <c r="K94" s="67" t="s">
        <v>84</v>
      </c>
      <c r="L94" s="136" t="s">
        <v>488</v>
      </c>
      <c r="M94" s="100" t="s">
        <v>202</v>
      </c>
    </row>
    <row r="95" spans="1:13" s="82" customFormat="1" ht="175.5" customHeight="1">
      <c r="A95" s="101" t="s">
        <v>30</v>
      </c>
      <c r="B95" s="130" t="s">
        <v>262</v>
      </c>
      <c r="C95" s="99" t="s">
        <v>261</v>
      </c>
      <c r="D95" s="99"/>
      <c r="E95" s="67" t="s">
        <v>84</v>
      </c>
      <c r="F95" s="67" t="s">
        <v>84</v>
      </c>
      <c r="G95" s="67" t="s">
        <v>84</v>
      </c>
      <c r="H95" s="67" t="s">
        <v>84</v>
      </c>
      <c r="I95" s="67" t="s">
        <v>84</v>
      </c>
      <c r="J95" s="67" t="s">
        <v>84</v>
      </c>
      <c r="K95" s="67" t="s">
        <v>84</v>
      </c>
      <c r="L95" s="136" t="s">
        <v>488</v>
      </c>
      <c r="M95" s="100" t="s">
        <v>202</v>
      </c>
    </row>
    <row r="96" spans="1:13" s="82" customFormat="1" ht="15" customHeight="1">
      <c r="A96" s="168" t="s">
        <v>12</v>
      </c>
      <c r="B96" s="164" t="s">
        <v>283</v>
      </c>
      <c r="C96" s="161" t="s">
        <v>3</v>
      </c>
      <c r="D96" s="97" t="s">
        <v>4</v>
      </c>
      <c r="E96" s="54">
        <f>E98+E99</f>
        <v>3266.97</v>
      </c>
      <c r="F96" s="54">
        <f t="shared" ref="F96:F119" si="14">SUM(G96:K96)</f>
        <v>24664.188200000001</v>
      </c>
      <c r="G96" s="54">
        <f>SUM(G97:G101)</f>
        <v>4471.38</v>
      </c>
      <c r="H96" s="54">
        <f>SUM(H97:H101)</f>
        <v>5026.3637799999997</v>
      </c>
      <c r="I96" s="54">
        <f>SUM(I97:I101)</f>
        <v>5558.0444200000002</v>
      </c>
      <c r="J96" s="54">
        <f>SUM(J97:J101)</f>
        <v>4804.2000000000007</v>
      </c>
      <c r="K96" s="54">
        <f>SUM(K97:K101)</f>
        <v>4804.2000000000007</v>
      </c>
      <c r="L96" s="160" t="s">
        <v>489</v>
      </c>
      <c r="M96" s="169" t="s">
        <v>293</v>
      </c>
    </row>
    <row r="97" spans="1:13" s="82" customFormat="1" ht="25.5">
      <c r="A97" s="168"/>
      <c r="B97" s="164"/>
      <c r="C97" s="161"/>
      <c r="D97" s="99" t="s">
        <v>24</v>
      </c>
      <c r="E97" s="67">
        <f>E103</f>
        <v>0</v>
      </c>
      <c r="F97" s="67">
        <f t="shared" si="14"/>
        <v>0</v>
      </c>
      <c r="G97" s="67">
        <f t="shared" ref="G97:K101" si="15">G103</f>
        <v>0</v>
      </c>
      <c r="H97" s="67">
        <f t="shared" si="15"/>
        <v>0</v>
      </c>
      <c r="I97" s="67">
        <f t="shared" si="15"/>
        <v>0</v>
      </c>
      <c r="J97" s="67">
        <f t="shared" si="15"/>
        <v>0</v>
      </c>
      <c r="K97" s="67">
        <f t="shared" si="15"/>
        <v>0</v>
      </c>
      <c r="L97" s="160"/>
      <c r="M97" s="170"/>
    </row>
    <row r="98" spans="1:13" s="82" customFormat="1" ht="25.5">
      <c r="A98" s="168"/>
      <c r="B98" s="165"/>
      <c r="C98" s="161"/>
      <c r="D98" s="99" t="s">
        <v>5</v>
      </c>
      <c r="E98" s="67">
        <f>E104</f>
        <v>292.48</v>
      </c>
      <c r="F98" s="67">
        <f t="shared" si="14"/>
        <v>599.79649999999992</v>
      </c>
      <c r="G98" s="67">
        <f t="shared" si="15"/>
        <v>229.39</v>
      </c>
      <c r="H98" s="67">
        <f t="shared" si="15"/>
        <v>370.40649999999999</v>
      </c>
      <c r="I98" s="67">
        <f t="shared" si="15"/>
        <v>0</v>
      </c>
      <c r="J98" s="67">
        <f t="shared" si="15"/>
        <v>0</v>
      </c>
      <c r="K98" s="67">
        <f t="shared" si="15"/>
        <v>0</v>
      </c>
      <c r="L98" s="160"/>
      <c r="M98" s="170"/>
    </row>
    <row r="99" spans="1:13" s="82" customFormat="1" ht="38.25">
      <c r="A99" s="168"/>
      <c r="B99" s="165"/>
      <c r="C99" s="161"/>
      <c r="D99" s="99" t="s">
        <v>71</v>
      </c>
      <c r="E99" s="67">
        <f>E105</f>
        <v>2974.49</v>
      </c>
      <c r="F99" s="67">
        <f t="shared" si="14"/>
        <v>23624.959599999998</v>
      </c>
      <c r="G99" s="67">
        <f t="shared" si="15"/>
        <v>3941.99</v>
      </c>
      <c r="H99" s="67">
        <f t="shared" si="15"/>
        <v>4516.5251799999996</v>
      </c>
      <c r="I99" s="67">
        <f t="shared" si="15"/>
        <v>5558.0444200000002</v>
      </c>
      <c r="J99" s="67">
        <f t="shared" si="15"/>
        <v>4804.2000000000007</v>
      </c>
      <c r="K99" s="67">
        <f t="shared" si="15"/>
        <v>4804.2000000000007</v>
      </c>
      <c r="L99" s="160"/>
      <c r="M99" s="170"/>
    </row>
    <row r="100" spans="1:13" s="82" customFormat="1" ht="38.25">
      <c r="A100" s="163"/>
      <c r="B100" s="166"/>
      <c r="C100" s="163"/>
      <c r="D100" s="99" t="s">
        <v>25</v>
      </c>
      <c r="E100" s="67">
        <f>E106</f>
        <v>0</v>
      </c>
      <c r="F100" s="67">
        <f t="shared" si="14"/>
        <v>439.43209999999999</v>
      </c>
      <c r="G100" s="67">
        <f t="shared" si="15"/>
        <v>300</v>
      </c>
      <c r="H100" s="67">
        <f t="shared" si="15"/>
        <v>139.43210000000002</v>
      </c>
      <c r="I100" s="67">
        <f t="shared" si="15"/>
        <v>0</v>
      </c>
      <c r="J100" s="67">
        <f t="shared" si="15"/>
        <v>0</v>
      </c>
      <c r="K100" s="67">
        <f t="shared" si="15"/>
        <v>0</v>
      </c>
      <c r="L100" s="160"/>
      <c r="M100" s="170"/>
    </row>
    <row r="101" spans="1:13" s="82" customFormat="1" ht="25.5">
      <c r="A101" s="163"/>
      <c r="B101" s="166"/>
      <c r="C101" s="163"/>
      <c r="D101" s="99" t="s">
        <v>26</v>
      </c>
      <c r="E101" s="67">
        <f>E107</f>
        <v>0</v>
      </c>
      <c r="F101" s="67">
        <f t="shared" si="14"/>
        <v>0</v>
      </c>
      <c r="G101" s="67">
        <f t="shared" si="15"/>
        <v>0</v>
      </c>
      <c r="H101" s="67">
        <f t="shared" si="15"/>
        <v>0</v>
      </c>
      <c r="I101" s="67">
        <f t="shared" si="15"/>
        <v>0</v>
      </c>
      <c r="J101" s="67">
        <f t="shared" si="15"/>
        <v>0</v>
      </c>
      <c r="K101" s="67">
        <f t="shared" si="15"/>
        <v>0</v>
      </c>
      <c r="L101" s="160"/>
      <c r="M101" s="171"/>
    </row>
    <row r="102" spans="1:13" s="82" customFormat="1" ht="15" customHeight="1">
      <c r="A102" s="167" t="s">
        <v>20</v>
      </c>
      <c r="B102" s="160" t="s">
        <v>284</v>
      </c>
      <c r="C102" s="161" t="s">
        <v>3</v>
      </c>
      <c r="D102" s="99" t="s">
        <v>4</v>
      </c>
      <c r="E102" s="67">
        <f>E104+E105</f>
        <v>3266.97</v>
      </c>
      <c r="F102" s="67">
        <f t="shared" si="14"/>
        <v>24664.188200000001</v>
      </c>
      <c r="G102" s="67">
        <f>SUM(G103:G107)</f>
        <v>4471.38</v>
      </c>
      <c r="H102" s="67">
        <f>SUM(H103:H107)</f>
        <v>5026.3637799999997</v>
      </c>
      <c r="I102" s="67">
        <f>SUM(I103:I107)</f>
        <v>5558.0444200000002</v>
      </c>
      <c r="J102" s="67">
        <f>SUM(J103:J107)</f>
        <v>4804.2000000000007</v>
      </c>
      <c r="K102" s="67">
        <f>SUM(K103:K107)</f>
        <v>4804.2000000000007</v>
      </c>
      <c r="L102" s="160" t="s">
        <v>489</v>
      </c>
      <c r="M102" s="161" t="s">
        <v>200</v>
      </c>
    </row>
    <row r="103" spans="1:13" s="82" customFormat="1" ht="25.5">
      <c r="A103" s="167"/>
      <c r="B103" s="160"/>
      <c r="C103" s="161"/>
      <c r="D103" s="99" t="s">
        <v>24</v>
      </c>
      <c r="E103" s="67">
        <v>0</v>
      </c>
      <c r="F103" s="67">
        <f t="shared" si="14"/>
        <v>0</v>
      </c>
      <c r="G103" s="67">
        <v>0</v>
      </c>
      <c r="H103" s="67">
        <v>0</v>
      </c>
      <c r="I103" s="67">
        <v>0</v>
      </c>
      <c r="J103" s="67">
        <v>0</v>
      </c>
      <c r="K103" s="67">
        <v>0</v>
      </c>
      <c r="L103" s="160"/>
      <c r="M103" s="162"/>
    </row>
    <row r="104" spans="1:13" s="82" customFormat="1" ht="25.5">
      <c r="A104" s="167"/>
      <c r="B104" s="160"/>
      <c r="C104" s="161"/>
      <c r="D104" s="99" t="s">
        <v>5</v>
      </c>
      <c r="E104" s="67">
        <v>292.48</v>
      </c>
      <c r="F104" s="67">
        <f t="shared" si="14"/>
        <v>599.79649999999992</v>
      </c>
      <c r="G104" s="67">
        <f>200+22.57+6.82</f>
        <v>229.39</v>
      </c>
      <c r="H104" s="67">
        <f>(129001.54+38958.46)/1000+202446.5/1000</f>
        <v>370.40649999999999</v>
      </c>
      <c r="I104" s="67">
        <v>0</v>
      </c>
      <c r="J104" s="67">
        <v>0</v>
      </c>
      <c r="K104" s="67">
        <v>0</v>
      </c>
      <c r="L104" s="160"/>
      <c r="M104" s="162"/>
    </row>
    <row r="105" spans="1:13" s="82" customFormat="1" ht="38.25">
      <c r="A105" s="167"/>
      <c r="B105" s="160"/>
      <c r="C105" s="161"/>
      <c r="D105" s="99" t="s">
        <v>71</v>
      </c>
      <c r="E105" s="67">
        <v>2974.49</v>
      </c>
      <c r="F105" s="67">
        <f t="shared" si="14"/>
        <v>23624.959599999998</v>
      </c>
      <c r="G105" s="67">
        <v>3941.99</v>
      </c>
      <c r="H105" s="67">
        <f>(4462815.18+33049.16+9980.84)/1000+10680/1000</f>
        <v>4516.5251799999996</v>
      </c>
      <c r="I105" s="67">
        <v>5558.0444200000002</v>
      </c>
      <c r="J105" s="67">
        <v>4804.2000000000007</v>
      </c>
      <c r="K105" s="67">
        <v>4804.2000000000007</v>
      </c>
      <c r="L105" s="160"/>
      <c r="M105" s="162"/>
    </row>
    <row r="106" spans="1:13" s="82" customFormat="1" ht="38.25" customHeight="1">
      <c r="A106" s="163"/>
      <c r="B106" s="163"/>
      <c r="C106" s="163"/>
      <c r="D106" s="99" t="s">
        <v>25</v>
      </c>
      <c r="E106" s="67">
        <v>0</v>
      </c>
      <c r="F106" s="67">
        <f t="shared" si="14"/>
        <v>439.43209999999999</v>
      </c>
      <c r="G106" s="67">
        <v>300</v>
      </c>
      <c r="H106" s="67">
        <f>139432.1/1000</f>
        <v>139.43210000000002</v>
      </c>
      <c r="I106" s="67">
        <v>0</v>
      </c>
      <c r="J106" s="67">
        <v>0</v>
      </c>
      <c r="K106" s="67">
        <v>0</v>
      </c>
      <c r="L106" s="160"/>
      <c r="M106" s="162"/>
    </row>
    <row r="107" spans="1:13" s="82" customFormat="1" ht="25.5">
      <c r="A107" s="163"/>
      <c r="B107" s="163"/>
      <c r="C107" s="163"/>
      <c r="D107" s="99" t="s">
        <v>26</v>
      </c>
      <c r="E107" s="67">
        <v>0</v>
      </c>
      <c r="F107" s="67">
        <f t="shared" si="14"/>
        <v>0</v>
      </c>
      <c r="G107" s="67">
        <v>0</v>
      </c>
      <c r="H107" s="67">
        <v>0</v>
      </c>
      <c r="I107" s="67">
        <v>0</v>
      </c>
      <c r="J107" s="67">
        <v>0</v>
      </c>
      <c r="K107" s="67">
        <v>0</v>
      </c>
      <c r="L107" s="160"/>
      <c r="M107" s="162"/>
    </row>
    <row r="108" spans="1:13" s="82" customFormat="1" ht="15" customHeight="1">
      <c r="A108" s="168" t="s">
        <v>32</v>
      </c>
      <c r="B108" s="164" t="s">
        <v>296</v>
      </c>
      <c r="C108" s="161" t="s">
        <v>3</v>
      </c>
      <c r="D108" s="97" t="s">
        <v>4</v>
      </c>
      <c r="E108" s="54">
        <f>E110+E111</f>
        <v>22388.230000000003</v>
      </c>
      <c r="F108" s="54">
        <f t="shared" si="14"/>
        <v>144832.17191999999</v>
      </c>
      <c r="G108" s="54">
        <f>SUM(G109:G113)</f>
        <v>23046.3</v>
      </c>
      <c r="H108" s="54">
        <f>SUM(H109:H113)</f>
        <v>30581.427530000004</v>
      </c>
      <c r="I108" s="54">
        <f>SUM(I109:I113)</f>
        <v>32398.044389999999</v>
      </c>
      <c r="J108" s="54">
        <f>SUM(J109:J113)</f>
        <v>29403.200000000001</v>
      </c>
      <c r="K108" s="54">
        <f>SUM(K109:K113)</f>
        <v>29403.200000000001</v>
      </c>
      <c r="L108" s="160" t="s">
        <v>490</v>
      </c>
      <c r="M108" s="169" t="s">
        <v>295</v>
      </c>
    </row>
    <row r="109" spans="1:13" s="82" customFormat="1" ht="25.5">
      <c r="A109" s="168"/>
      <c r="B109" s="164"/>
      <c r="C109" s="161"/>
      <c r="D109" s="99" t="s">
        <v>24</v>
      </c>
      <c r="E109" s="67">
        <f>E115</f>
        <v>0</v>
      </c>
      <c r="F109" s="67">
        <f t="shared" si="14"/>
        <v>0</v>
      </c>
      <c r="G109" s="67">
        <f t="shared" ref="G109:K111" si="16">G115</f>
        <v>0</v>
      </c>
      <c r="H109" s="67">
        <f t="shared" si="16"/>
        <v>0</v>
      </c>
      <c r="I109" s="67">
        <f t="shared" si="16"/>
        <v>0</v>
      </c>
      <c r="J109" s="67">
        <f t="shared" si="16"/>
        <v>0</v>
      </c>
      <c r="K109" s="67">
        <f t="shared" si="16"/>
        <v>0</v>
      </c>
      <c r="L109" s="160"/>
      <c r="M109" s="170"/>
    </row>
    <row r="110" spans="1:13" s="82" customFormat="1" ht="25.5">
      <c r="A110" s="168"/>
      <c r="B110" s="165"/>
      <c r="C110" s="161"/>
      <c r="D110" s="99" t="s">
        <v>5</v>
      </c>
      <c r="E110" s="67">
        <f>E116</f>
        <v>1826.65</v>
      </c>
      <c r="F110" s="67">
        <f t="shared" si="14"/>
        <v>3914.9075000000003</v>
      </c>
      <c r="G110" s="67">
        <f t="shared" si="16"/>
        <v>223.75</v>
      </c>
      <c r="H110" s="67">
        <f t="shared" si="16"/>
        <v>3021.1575000000003</v>
      </c>
      <c r="I110" s="67">
        <f t="shared" si="16"/>
        <v>670</v>
      </c>
      <c r="J110" s="67">
        <f t="shared" si="16"/>
        <v>0</v>
      </c>
      <c r="K110" s="67">
        <f t="shared" si="16"/>
        <v>0</v>
      </c>
      <c r="L110" s="160"/>
      <c r="M110" s="170"/>
    </row>
    <row r="111" spans="1:13" s="82" customFormat="1" ht="38.25">
      <c r="A111" s="168"/>
      <c r="B111" s="165"/>
      <c r="C111" s="161"/>
      <c r="D111" s="99" t="s">
        <v>71</v>
      </c>
      <c r="E111" s="67">
        <f>E117</f>
        <v>20561.580000000002</v>
      </c>
      <c r="F111" s="67">
        <f t="shared" si="14"/>
        <v>140917.26441999999</v>
      </c>
      <c r="G111" s="67">
        <f t="shared" si="16"/>
        <v>22822.55</v>
      </c>
      <c r="H111" s="67">
        <f t="shared" si="16"/>
        <v>27560.270030000003</v>
      </c>
      <c r="I111" s="67">
        <f t="shared" si="16"/>
        <v>31728.044389999999</v>
      </c>
      <c r="J111" s="67">
        <f t="shared" si="16"/>
        <v>29403.200000000001</v>
      </c>
      <c r="K111" s="67">
        <f t="shared" si="16"/>
        <v>29403.200000000001</v>
      </c>
      <c r="L111" s="160"/>
      <c r="M111" s="170"/>
    </row>
    <row r="112" spans="1:13" ht="42" customHeight="1">
      <c r="A112" s="163"/>
      <c r="B112" s="166"/>
      <c r="C112" s="163"/>
      <c r="D112" s="99" t="s">
        <v>25</v>
      </c>
      <c r="E112" s="67">
        <f>E118</f>
        <v>0</v>
      </c>
      <c r="F112" s="67">
        <f t="shared" si="14"/>
        <v>0</v>
      </c>
      <c r="G112" s="67">
        <v>0</v>
      </c>
      <c r="H112" s="67">
        <f t="shared" ref="H112:K113" si="17">H118</f>
        <v>0</v>
      </c>
      <c r="I112" s="67">
        <f t="shared" si="17"/>
        <v>0</v>
      </c>
      <c r="J112" s="67">
        <f t="shared" si="17"/>
        <v>0</v>
      </c>
      <c r="K112" s="67">
        <f t="shared" si="17"/>
        <v>0</v>
      </c>
      <c r="L112" s="160"/>
      <c r="M112" s="170"/>
    </row>
    <row r="113" spans="1:13" ht="29.25" customHeight="1">
      <c r="A113" s="163"/>
      <c r="B113" s="166"/>
      <c r="C113" s="163"/>
      <c r="D113" s="99" t="s">
        <v>26</v>
      </c>
      <c r="E113" s="67">
        <f>E119</f>
        <v>0</v>
      </c>
      <c r="F113" s="67">
        <f t="shared" si="14"/>
        <v>0</v>
      </c>
      <c r="G113" s="67">
        <v>0</v>
      </c>
      <c r="H113" s="67">
        <f t="shared" si="17"/>
        <v>0</v>
      </c>
      <c r="I113" s="67">
        <f t="shared" si="17"/>
        <v>0</v>
      </c>
      <c r="J113" s="67">
        <f t="shared" si="17"/>
        <v>0</v>
      </c>
      <c r="K113" s="67">
        <f t="shared" si="17"/>
        <v>0</v>
      </c>
      <c r="L113" s="160"/>
      <c r="M113" s="171"/>
    </row>
    <row r="114" spans="1:13" ht="15" customHeight="1">
      <c r="A114" s="167" t="s">
        <v>294</v>
      </c>
      <c r="B114" s="160" t="s">
        <v>297</v>
      </c>
      <c r="C114" s="161" t="s">
        <v>3</v>
      </c>
      <c r="D114" s="99" t="s">
        <v>4</v>
      </c>
      <c r="E114" s="67">
        <f>SUM(E115:E119)</f>
        <v>22388.230000000003</v>
      </c>
      <c r="F114" s="67">
        <f t="shared" si="14"/>
        <v>144832.17191999999</v>
      </c>
      <c r="G114" s="67">
        <f>SUM(G115:G119)</f>
        <v>23046.3</v>
      </c>
      <c r="H114" s="67">
        <f>SUM(H115:H119)</f>
        <v>30581.427530000004</v>
      </c>
      <c r="I114" s="67">
        <f>SUM(I115:I119)</f>
        <v>32398.044389999999</v>
      </c>
      <c r="J114" s="67">
        <f>SUM(J115:J119)</f>
        <v>29403.200000000001</v>
      </c>
      <c r="K114" s="67">
        <f>SUM(K115:K119)</f>
        <v>29403.200000000001</v>
      </c>
      <c r="L114" s="160" t="s">
        <v>490</v>
      </c>
      <c r="M114" s="161" t="s">
        <v>200</v>
      </c>
    </row>
    <row r="115" spans="1:13" ht="25.5">
      <c r="A115" s="167"/>
      <c r="B115" s="160"/>
      <c r="C115" s="161"/>
      <c r="D115" s="99" t="s">
        <v>24</v>
      </c>
      <c r="E115" s="67">
        <v>0</v>
      </c>
      <c r="F115" s="67">
        <f t="shared" si="14"/>
        <v>0</v>
      </c>
      <c r="G115" s="67">
        <v>0</v>
      </c>
      <c r="H115" s="67">
        <v>0</v>
      </c>
      <c r="I115" s="67">
        <v>0</v>
      </c>
      <c r="J115" s="67">
        <v>0</v>
      </c>
      <c r="K115" s="67">
        <v>0</v>
      </c>
      <c r="L115" s="160"/>
      <c r="M115" s="162"/>
    </row>
    <row r="116" spans="1:13" ht="66.75" customHeight="1">
      <c r="A116" s="167"/>
      <c r="B116" s="160"/>
      <c r="C116" s="161"/>
      <c r="D116" s="99" t="s">
        <v>5</v>
      </c>
      <c r="E116" s="67">
        <v>1826.65</v>
      </c>
      <c r="F116" s="67">
        <f t="shared" si="14"/>
        <v>3914.9075000000003</v>
      </c>
      <c r="G116" s="67">
        <v>223.75</v>
      </c>
      <c r="H116" s="67">
        <f>(981751.15+296488.85)/1000+200+1542917.5/1000</f>
        <v>3021.1575000000003</v>
      </c>
      <c r="I116" s="67">
        <v>670</v>
      </c>
      <c r="J116" s="67">
        <v>0</v>
      </c>
      <c r="K116" s="67">
        <v>0</v>
      </c>
      <c r="L116" s="160"/>
      <c r="M116" s="162"/>
    </row>
    <row r="117" spans="1:13" ht="38.25">
      <c r="A117" s="167"/>
      <c r="B117" s="160"/>
      <c r="C117" s="161"/>
      <c r="D117" s="99" t="s">
        <v>71</v>
      </c>
      <c r="E117" s="67">
        <v>20561.580000000002</v>
      </c>
      <c r="F117" s="67">
        <f t="shared" si="14"/>
        <v>140917.26441999999</v>
      </c>
      <c r="G117" s="67">
        <v>22822.55</v>
      </c>
      <c r="H117" s="67">
        <f>(27151471.03+251543.78+75966.22)/1000+81289/1000</f>
        <v>27560.270030000003</v>
      </c>
      <c r="I117" s="67">
        <f>31378.04439+350</f>
        <v>31728.044389999999</v>
      </c>
      <c r="J117" s="67">
        <v>29403.200000000001</v>
      </c>
      <c r="K117" s="67">
        <v>29403.200000000001</v>
      </c>
      <c r="L117" s="160"/>
      <c r="M117" s="162"/>
    </row>
    <row r="118" spans="1:13" ht="48.75" customHeight="1">
      <c r="A118" s="163"/>
      <c r="B118" s="163"/>
      <c r="C118" s="163"/>
      <c r="D118" s="99" t="s">
        <v>25</v>
      </c>
      <c r="E118" s="67">
        <v>0</v>
      </c>
      <c r="F118" s="67">
        <f t="shared" si="14"/>
        <v>0</v>
      </c>
      <c r="G118" s="67">
        <v>0</v>
      </c>
      <c r="H118" s="67">
        <v>0</v>
      </c>
      <c r="I118" s="67">
        <v>0</v>
      </c>
      <c r="J118" s="67">
        <v>0</v>
      </c>
      <c r="K118" s="67">
        <v>0</v>
      </c>
      <c r="L118" s="160"/>
      <c r="M118" s="162"/>
    </row>
    <row r="119" spans="1:13" ht="27.75" customHeight="1">
      <c r="A119" s="163"/>
      <c r="B119" s="163"/>
      <c r="C119" s="163"/>
      <c r="D119" s="99" t="s">
        <v>26</v>
      </c>
      <c r="E119" s="67">
        <v>0</v>
      </c>
      <c r="F119" s="67">
        <f t="shared" si="14"/>
        <v>0</v>
      </c>
      <c r="G119" s="67">
        <v>0</v>
      </c>
      <c r="H119" s="67">
        <v>0</v>
      </c>
      <c r="I119" s="67">
        <v>0</v>
      </c>
      <c r="J119" s="67">
        <v>0</v>
      </c>
      <c r="K119" s="67">
        <v>0</v>
      </c>
      <c r="L119" s="160"/>
      <c r="M119" s="162"/>
    </row>
    <row r="120" spans="1:13" ht="15" customHeight="1">
      <c r="A120" s="167" t="s">
        <v>87</v>
      </c>
      <c r="B120" s="164" t="s">
        <v>302</v>
      </c>
      <c r="C120" s="161" t="s">
        <v>3</v>
      </c>
      <c r="D120" s="97" t="s">
        <v>11</v>
      </c>
      <c r="E120" s="54">
        <f>SUM(E121:E125)</f>
        <v>94471.03</v>
      </c>
      <c r="F120" s="54">
        <f t="shared" ref="F120:F131" si="18">SUM(G120:K120)</f>
        <v>576166.73334000004</v>
      </c>
      <c r="G120" s="54">
        <f>SUM(G121:G125)</f>
        <v>109380.71</v>
      </c>
      <c r="H120" s="54">
        <f>SUM(H121:H125)</f>
        <v>115000.36334000001</v>
      </c>
      <c r="I120" s="54">
        <f>SUM(I121:I125)</f>
        <v>115718.46</v>
      </c>
      <c r="J120" s="54">
        <f>SUM(J121:J125)</f>
        <v>116091.1</v>
      </c>
      <c r="K120" s="54">
        <f>SUM(K121:K125)</f>
        <v>119976.1</v>
      </c>
      <c r="L120" s="172" t="s">
        <v>491</v>
      </c>
      <c r="M120" s="172" t="s">
        <v>199</v>
      </c>
    </row>
    <row r="121" spans="1:13" ht="41.25" customHeight="1">
      <c r="A121" s="167"/>
      <c r="B121" s="164"/>
      <c r="C121" s="161"/>
      <c r="D121" s="99" t="s">
        <v>24</v>
      </c>
      <c r="E121" s="67">
        <f>E127+E133+E139+E145+E151+E157+E163</f>
        <v>0</v>
      </c>
      <c r="F121" s="67">
        <f t="shared" si="18"/>
        <v>0</v>
      </c>
      <c r="G121" s="67">
        <f>G127+G133+G139+G145+G151+G157+G163</f>
        <v>0</v>
      </c>
      <c r="H121" s="67">
        <f>H127+H133+H139+H145+H151+H157+H163</f>
        <v>0</v>
      </c>
      <c r="I121" s="67">
        <f>I127+I133+I139+I145+I151+I157+I163</f>
        <v>0</v>
      </c>
      <c r="J121" s="67">
        <f>J127+J133+J139+J145+J151+J157+J163</f>
        <v>0</v>
      </c>
      <c r="K121" s="67">
        <f>K127+K133+K139+K145+K151+K157+K163</f>
        <v>0</v>
      </c>
      <c r="L121" s="173"/>
      <c r="M121" s="173"/>
    </row>
    <row r="122" spans="1:13" ht="25.5">
      <c r="A122" s="167"/>
      <c r="B122" s="177"/>
      <c r="C122" s="161"/>
      <c r="D122" s="99" t="s">
        <v>5</v>
      </c>
      <c r="E122" s="67">
        <f t="shared" ref="E122:K125" si="19">E128+E134+E140+E146+E152+E158+E164</f>
        <v>3871.8300000000004</v>
      </c>
      <c r="F122" s="67">
        <f t="shared" si="18"/>
        <v>2954.89</v>
      </c>
      <c r="G122" s="67">
        <f t="shared" si="19"/>
        <v>912.38999999999987</v>
      </c>
      <c r="H122" s="67">
        <f t="shared" si="19"/>
        <v>0</v>
      </c>
      <c r="I122" s="67">
        <f t="shared" si="19"/>
        <v>100</v>
      </c>
      <c r="J122" s="67">
        <f t="shared" si="19"/>
        <v>0</v>
      </c>
      <c r="K122" s="67">
        <f t="shared" si="19"/>
        <v>1942.5</v>
      </c>
      <c r="L122" s="173"/>
      <c r="M122" s="173"/>
    </row>
    <row r="123" spans="1:13" ht="38.25">
      <c r="A123" s="167"/>
      <c r="B123" s="177"/>
      <c r="C123" s="161"/>
      <c r="D123" s="99" t="s">
        <v>71</v>
      </c>
      <c r="E123" s="67">
        <f t="shared" si="19"/>
        <v>90599.2</v>
      </c>
      <c r="F123" s="67">
        <f t="shared" si="18"/>
        <v>571229.24334000004</v>
      </c>
      <c r="G123" s="67">
        <f t="shared" si="19"/>
        <v>107485.72</v>
      </c>
      <c r="H123" s="67">
        <f t="shared" si="19"/>
        <v>115000.36334000001</v>
      </c>
      <c r="I123" s="67">
        <f t="shared" si="19"/>
        <v>114618.46</v>
      </c>
      <c r="J123" s="67">
        <f t="shared" si="19"/>
        <v>116091.1</v>
      </c>
      <c r="K123" s="67">
        <f t="shared" si="19"/>
        <v>118033.60000000001</v>
      </c>
      <c r="L123" s="173"/>
      <c r="M123" s="173"/>
    </row>
    <row r="124" spans="1:13" ht="66.75" customHeight="1">
      <c r="A124" s="163"/>
      <c r="B124" s="163"/>
      <c r="C124" s="163"/>
      <c r="D124" s="99" t="s">
        <v>25</v>
      </c>
      <c r="E124" s="67">
        <f t="shared" si="19"/>
        <v>0</v>
      </c>
      <c r="F124" s="67">
        <f t="shared" si="18"/>
        <v>1982.6</v>
      </c>
      <c r="G124" s="67">
        <f t="shared" si="19"/>
        <v>982.6</v>
      </c>
      <c r="H124" s="67">
        <f t="shared" si="19"/>
        <v>0</v>
      </c>
      <c r="I124" s="67">
        <f t="shared" si="19"/>
        <v>1000</v>
      </c>
      <c r="J124" s="67">
        <f t="shared" si="19"/>
        <v>0</v>
      </c>
      <c r="K124" s="67">
        <f t="shared" si="19"/>
        <v>0</v>
      </c>
      <c r="L124" s="173"/>
      <c r="M124" s="173"/>
    </row>
    <row r="125" spans="1:13" ht="25.5">
      <c r="A125" s="163"/>
      <c r="B125" s="163"/>
      <c r="C125" s="163"/>
      <c r="D125" s="99" t="s">
        <v>26</v>
      </c>
      <c r="E125" s="67">
        <f t="shared" si="19"/>
        <v>0</v>
      </c>
      <c r="F125" s="67">
        <f t="shared" si="18"/>
        <v>0</v>
      </c>
      <c r="G125" s="67">
        <f t="shared" si="19"/>
        <v>0</v>
      </c>
      <c r="H125" s="67">
        <f t="shared" si="19"/>
        <v>0</v>
      </c>
      <c r="I125" s="67">
        <f t="shared" si="19"/>
        <v>0</v>
      </c>
      <c r="J125" s="67">
        <f t="shared" si="19"/>
        <v>0</v>
      </c>
      <c r="K125" s="67">
        <f t="shared" si="19"/>
        <v>0</v>
      </c>
      <c r="L125" s="174"/>
      <c r="M125" s="174"/>
    </row>
    <row r="126" spans="1:13">
      <c r="A126" s="167" t="s">
        <v>303</v>
      </c>
      <c r="B126" s="160" t="s">
        <v>190</v>
      </c>
      <c r="C126" s="161" t="s">
        <v>3</v>
      </c>
      <c r="D126" s="99" t="s">
        <v>11</v>
      </c>
      <c r="E126" s="67">
        <f>SUM(E127:E131)</f>
        <v>50053.120000000003</v>
      </c>
      <c r="F126" s="67">
        <f t="shared" si="18"/>
        <v>292696.78873000003</v>
      </c>
      <c r="G126" s="67">
        <f>SUM(G127:G131)</f>
        <v>56091.72</v>
      </c>
      <c r="H126" s="67">
        <f>SUM(H127:H131)</f>
        <v>57407.524729999997</v>
      </c>
      <c r="I126" s="67">
        <f>SUM(I127:I131)</f>
        <v>60149.543999999994</v>
      </c>
      <c r="J126" s="67">
        <f>SUM(J127:J131)</f>
        <v>59524</v>
      </c>
      <c r="K126" s="67">
        <f>SUM(K127:K131)</f>
        <v>59524</v>
      </c>
      <c r="L126" s="172" t="s">
        <v>492</v>
      </c>
      <c r="M126" s="172" t="s">
        <v>199</v>
      </c>
    </row>
    <row r="127" spans="1:13" ht="44.25" customHeight="1">
      <c r="A127" s="167"/>
      <c r="B127" s="160"/>
      <c r="C127" s="161"/>
      <c r="D127" s="99" t="s">
        <v>24</v>
      </c>
      <c r="E127" s="67">
        <v>0</v>
      </c>
      <c r="F127" s="67">
        <f t="shared" si="18"/>
        <v>0</v>
      </c>
      <c r="G127" s="67">
        <v>0</v>
      </c>
      <c r="H127" s="67">
        <v>0</v>
      </c>
      <c r="I127" s="67">
        <v>0</v>
      </c>
      <c r="J127" s="67">
        <v>0</v>
      </c>
      <c r="K127" s="67">
        <v>0</v>
      </c>
      <c r="L127" s="173"/>
      <c r="M127" s="173"/>
    </row>
    <row r="128" spans="1:13" ht="25.5">
      <c r="A128" s="167"/>
      <c r="B128" s="160"/>
      <c r="C128" s="161"/>
      <c r="D128" s="99" t="s">
        <v>5</v>
      </c>
      <c r="E128" s="67">
        <v>2122.0100000000002</v>
      </c>
      <c r="F128" s="67">
        <f t="shared" si="18"/>
        <v>604.61</v>
      </c>
      <c r="G128" s="67">
        <f>50+454.61</f>
        <v>504.61</v>
      </c>
      <c r="H128" s="67">
        <v>0</v>
      </c>
      <c r="I128" s="67">
        <v>100</v>
      </c>
      <c r="J128" s="67">
        <v>0</v>
      </c>
      <c r="K128" s="67">
        <v>0</v>
      </c>
      <c r="L128" s="173"/>
      <c r="M128" s="173"/>
    </row>
    <row r="129" spans="1:14" ht="38.25">
      <c r="A129" s="167"/>
      <c r="B129" s="160"/>
      <c r="C129" s="161"/>
      <c r="D129" s="99" t="s">
        <v>71</v>
      </c>
      <c r="E129" s="67">
        <v>47931.11</v>
      </c>
      <c r="F129" s="67">
        <f t="shared" si="18"/>
        <v>290109.57873000001</v>
      </c>
      <c r="G129" s="67">
        <v>54604.51</v>
      </c>
      <c r="H129" s="67">
        <f>57407524.73/1000</f>
        <v>57407.524729999997</v>
      </c>
      <c r="I129" s="67">
        <f>59524.06+(252000+76104)/1000-802620/1000</f>
        <v>59049.543999999994</v>
      </c>
      <c r="J129" s="67">
        <v>59524</v>
      </c>
      <c r="K129" s="67">
        <v>59524</v>
      </c>
      <c r="L129" s="173"/>
      <c r="M129" s="173"/>
    </row>
    <row r="130" spans="1:14" ht="38.25">
      <c r="A130" s="163"/>
      <c r="B130" s="163"/>
      <c r="C130" s="163"/>
      <c r="D130" s="99" t="s">
        <v>25</v>
      </c>
      <c r="E130" s="67">
        <v>0</v>
      </c>
      <c r="F130" s="67">
        <f t="shared" si="18"/>
        <v>1982.6</v>
      </c>
      <c r="G130" s="67">
        <v>982.6</v>
      </c>
      <c r="H130" s="67">
        <v>0</v>
      </c>
      <c r="I130" s="67">
        <v>1000</v>
      </c>
      <c r="J130" s="67">
        <v>0</v>
      </c>
      <c r="K130" s="67">
        <v>0</v>
      </c>
      <c r="L130" s="173"/>
      <c r="M130" s="173"/>
    </row>
    <row r="131" spans="1:14" ht="25.5">
      <c r="A131" s="163"/>
      <c r="B131" s="163"/>
      <c r="C131" s="163"/>
      <c r="D131" s="99" t="s">
        <v>26</v>
      </c>
      <c r="E131" s="67">
        <v>0</v>
      </c>
      <c r="F131" s="67">
        <f t="shared" si="18"/>
        <v>0</v>
      </c>
      <c r="G131" s="67">
        <v>0</v>
      </c>
      <c r="H131" s="67">
        <v>0</v>
      </c>
      <c r="I131" s="67">
        <v>0</v>
      </c>
      <c r="J131" s="67">
        <v>0</v>
      </c>
      <c r="K131" s="67">
        <v>0</v>
      </c>
      <c r="L131" s="173"/>
      <c r="M131" s="173"/>
    </row>
    <row r="132" spans="1:14">
      <c r="A132" s="167" t="s">
        <v>531</v>
      </c>
      <c r="B132" s="160" t="s">
        <v>532</v>
      </c>
      <c r="C132" s="161" t="s">
        <v>3</v>
      </c>
      <c r="D132" s="99" t="s">
        <v>11</v>
      </c>
      <c r="E132" s="67">
        <f>SUM(E133:E137)</f>
        <v>8646.11</v>
      </c>
      <c r="F132" s="67">
        <f t="shared" ref="F132:F155" si="20">SUM(G132:K132)</f>
        <v>59171.972479999997</v>
      </c>
      <c r="G132" s="67">
        <f>SUM(G133:G137)</f>
        <v>11128.07</v>
      </c>
      <c r="H132" s="67">
        <f>SUM(H133:H137)</f>
        <v>12138.22848</v>
      </c>
      <c r="I132" s="67">
        <f>SUM(I133:I137)</f>
        <v>11813.474</v>
      </c>
      <c r="J132" s="67">
        <f>SUM(J133:J137)</f>
        <v>12046.1</v>
      </c>
      <c r="K132" s="67">
        <f>SUM(K133:K137)</f>
        <v>12046.1</v>
      </c>
      <c r="L132" s="172" t="s">
        <v>493</v>
      </c>
      <c r="M132" s="172" t="s">
        <v>199</v>
      </c>
    </row>
    <row r="133" spans="1:14" ht="25.5">
      <c r="A133" s="167"/>
      <c r="B133" s="160"/>
      <c r="C133" s="161"/>
      <c r="D133" s="99" t="s">
        <v>24</v>
      </c>
      <c r="E133" s="67">
        <v>0</v>
      </c>
      <c r="F133" s="67">
        <f t="shared" si="20"/>
        <v>0</v>
      </c>
      <c r="G133" s="67">
        <v>0</v>
      </c>
      <c r="H133" s="67">
        <v>0</v>
      </c>
      <c r="I133" s="67">
        <v>0</v>
      </c>
      <c r="J133" s="67">
        <v>0</v>
      </c>
      <c r="K133" s="67">
        <v>0</v>
      </c>
      <c r="L133" s="173"/>
      <c r="M133" s="173"/>
      <c r="N133" s="59"/>
    </row>
    <row r="134" spans="1:14" ht="25.5">
      <c r="A134" s="167"/>
      <c r="B134" s="160"/>
      <c r="C134" s="161"/>
      <c r="D134" s="99" t="s">
        <v>5</v>
      </c>
      <c r="E134" s="67">
        <v>327.49</v>
      </c>
      <c r="F134" s="67">
        <f t="shared" si="20"/>
        <v>93.3</v>
      </c>
      <c r="G134" s="67">
        <v>93.3</v>
      </c>
      <c r="H134" s="67">
        <v>0</v>
      </c>
      <c r="I134" s="67">
        <v>0</v>
      </c>
      <c r="J134" s="67">
        <v>0</v>
      </c>
      <c r="K134" s="67">
        <v>0</v>
      </c>
      <c r="L134" s="173"/>
      <c r="M134" s="173"/>
    </row>
    <row r="135" spans="1:14" ht="38.25">
      <c r="A135" s="167"/>
      <c r="B135" s="160"/>
      <c r="C135" s="161"/>
      <c r="D135" s="99" t="s">
        <v>71</v>
      </c>
      <c r="E135" s="67">
        <v>8318.6200000000008</v>
      </c>
      <c r="F135" s="67">
        <f t="shared" si="20"/>
        <v>59078.672480000001</v>
      </c>
      <c r="G135" s="67">
        <v>11034.77</v>
      </c>
      <c r="H135" s="67">
        <f>12138228.48/1000</f>
        <v>12138.22848</v>
      </c>
      <c r="I135" s="67">
        <f>12046.07-232596/1000</f>
        <v>11813.474</v>
      </c>
      <c r="J135" s="67">
        <v>12046.1</v>
      </c>
      <c r="K135" s="67">
        <v>12046.1</v>
      </c>
      <c r="L135" s="173"/>
      <c r="M135" s="173"/>
    </row>
    <row r="136" spans="1:14" ht="38.25">
      <c r="A136" s="163"/>
      <c r="B136" s="163"/>
      <c r="C136" s="163"/>
      <c r="D136" s="99" t="s">
        <v>25</v>
      </c>
      <c r="E136" s="67">
        <v>0</v>
      </c>
      <c r="F136" s="67">
        <f t="shared" si="20"/>
        <v>0</v>
      </c>
      <c r="G136" s="67">
        <v>0</v>
      </c>
      <c r="H136" s="67">
        <v>0</v>
      </c>
      <c r="I136" s="67">
        <v>0</v>
      </c>
      <c r="J136" s="67">
        <v>0</v>
      </c>
      <c r="K136" s="67">
        <v>0</v>
      </c>
      <c r="L136" s="173"/>
      <c r="M136" s="173"/>
    </row>
    <row r="137" spans="1:14" ht="25.5">
      <c r="A137" s="163"/>
      <c r="B137" s="163"/>
      <c r="C137" s="163"/>
      <c r="D137" s="99" t="s">
        <v>26</v>
      </c>
      <c r="E137" s="67">
        <v>0</v>
      </c>
      <c r="F137" s="67">
        <f t="shared" si="20"/>
        <v>0</v>
      </c>
      <c r="G137" s="67">
        <v>0</v>
      </c>
      <c r="H137" s="67">
        <v>0</v>
      </c>
      <c r="I137" s="67">
        <v>0</v>
      </c>
      <c r="J137" s="67">
        <v>0</v>
      </c>
      <c r="K137" s="67">
        <v>0</v>
      </c>
      <c r="L137" s="173"/>
      <c r="M137" s="173"/>
    </row>
    <row r="138" spans="1:14">
      <c r="A138" s="167" t="s">
        <v>304</v>
      </c>
      <c r="B138" s="160" t="s">
        <v>533</v>
      </c>
      <c r="C138" s="161" t="s">
        <v>3</v>
      </c>
      <c r="D138" s="99" t="s">
        <v>11</v>
      </c>
      <c r="E138" s="67">
        <f>SUM(E139:E143)</f>
        <v>7810.09</v>
      </c>
      <c r="F138" s="67">
        <f t="shared" si="20"/>
        <v>80671.76728</v>
      </c>
      <c r="G138" s="67">
        <f>SUM(G139:G143)</f>
        <v>8942.99</v>
      </c>
      <c r="H138" s="67">
        <f>SUM(H139:H143)</f>
        <v>19918.795280000002</v>
      </c>
      <c r="I138" s="67">
        <f>SUM(I139:I143)</f>
        <v>17202.982</v>
      </c>
      <c r="J138" s="67">
        <f>SUM(J139:J143)</f>
        <v>17303.5</v>
      </c>
      <c r="K138" s="67">
        <f>SUM(K139:K143)</f>
        <v>17303.5</v>
      </c>
      <c r="L138" s="172" t="s">
        <v>494</v>
      </c>
      <c r="M138" s="172" t="s">
        <v>219</v>
      </c>
    </row>
    <row r="139" spans="1:14" ht="25.5">
      <c r="A139" s="167"/>
      <c r="B139" s="160"/>
      <c r="C139" s="161"/>
      <c r="D139" s="99" t="s">
        <v>24</v>
      </c>
      <c r="E139" s="67">
        <v>0</v>
      </c>
      <c r="F139" s="67">
        <f t="shared" si="20"/>
        <v>0</v>
      </c>
      <c r="G139" s="67">
        <v>0</v>
      </c>
      <c r="H139" s="67">
        <v>0</v>
      </c>
      <c r="I139" s="67">
        <v>0</v>
      </c>
      <c r="J139" s="67">
        <v>0</v>
      </c>
      <c r="K139" s="67">
        <v>0</v>
      </c>
      <c r="L139" s="173"/>
      <c r="M139" s="173"/>
    </row>
    <row r="140" spans="1:14" ht="25.5">
      <c r="A140" s="167"/>
      <c r="B140" s="160"/>
      <c r="C140" s="161"/>
      <c r="D140" s="99" t="s">
        <v>5</v>
      </c>
      <c r="E140" s="67">
        <v>296.57</v>
      </c>
      <c r="F140" s="67">
        <f t="shared" si="20"/>
        <v>71.27</v>
      </c>
      <c r="G140" s="67">
        <v>71.27</v>
      </c>
      <c r="H140" s="67">
        <v>0</v>
      </c>
      <c r="I140" s="67">
        <v>0</v>
      </c>
      <c r="J140" s="67">
        <v>0</v>
      </c>
      <c r="K140" s="67">
        <v>0</v>
      </c>
      <c r="L140" s="173"/>
      <c r="M140" s="173"/>
    </row>
    <row r="141" spans="1:14" ht="38.25">
      <c r="A141" s="167"/>
      <c r="B141" s="160"/>
      <c r="C141" s="161"/>
      <c r="D141" s="99" t="s">
        <v>71</v>
      </c>
      <c r="E141" s="67">
        <v>7513.52</v>
      </c>
      <c r="F141" s="67">
        <f t="shared" si="20"/>
        <v>80600.497279999996</v>
      </c>
      <c r="G141" s="67">
        <v>8871.7199999999993</v>
      </c>
      <c r="H141" s="67">
        <f>19918795.28/1000</f>
        <v>19918.795280000002</v>
      </c>
      <c r="I141" s="67">
        <f>17303.53+(36000+10872)/1000-147420/1000</f>
        <v>17202.982</v>
      </c>
      <c r="J141" s="67">
        <v>17303.5</v>
      </c>
      <c r="K141" s="67">
        <v>17303.5</v>
      </c>
      <c r="L141" s="173"/>
      <c r="M141" s="173"/>
    </row>
    <row r="142" spans="1:14" ht="38.25">
      <c r="A142" s="163"/>
      <c r="B142" s="163"/>
      <c r="C142" s="163"/>
      <c r="D142" s="99" t="s">
        <v>25</v>
      </c>
      <c r="E142" s="67">
        <v>0</v>
      </c>
      <c r="F142" s="67">
        <f t="shared" si="20"/>
        <v>0</v>
      </c>
      <c r="G142" s="67">
        <v>0</v>
      </c>
      <c r="H142" s="67">
        <v>0</v>
      </c>
      <c r="I142" s="67">
        <v>0</v>
      </c>
      <c r="J142" s="67">
        <v>0</v>
      </c>
      <c r="K142" s="67">
        <v>0</v>
      </c>
      <c r="L142" s="173"/>
      <c r="M142" s="173"/>
    </row>
    <row r="143" spans="1:14" ht="25.5">
      <c r="A143" s="163"/>
      <c r="B143" s="163"/>
      <c r="C143" s="163"/>
      <c r="D143" s="99" t="s">
        <v>26</v>
      </c>
      <c r="E143" s="67">
        <v>0</v>
      </c>
      <c r="F143" s="67">
        <f t="shared" si="20"/>
        <v>0</v>
      </c>
      <c r="G143" s="67">
        <v>0</v>
      </c>
      <c r="H143" s="67">
        <v>0</v>
      </c>
      <c r="I143" s="67">
        <v>0</v>
      </c>
      <c r="J143" s="67">
        <v>0</v>
      </c>
      <c r="K143" s="67">
        <v>0</v>
      </c>
      <c r="L143" s="173"/>
      <c r="M143" s="173"/>
    </row>
    <row r="144" spans="1:14" ht="15" customHeight="1">
      <c r="A144" s="179" t="s">
        <v>534</v>
      </c>
      <c r="B144" s="169" t="s">
        <v>535</v>
      </c>
      <c r="C144" s="172" t="s">
        <v>524</v>
      </c>
      <c r="D144" s="99" t="s">
        <v>11</v>
      </c>
      <c r="E144" s="67">
        <f>SUM(E145:E149)</f>
        <v>7013.94</v>
      </c>
      <c r="F144" s="67">
        <f t="shared" si="20"/>
        <v>9357.7200000000012</v>
      </c>
      <c r="G144" s="67">
        <f>SUM(G145:G149)</f>
        <v>9357.7200000000012</v>
      </c>
      <c r="H144" s="67">
        <f>SUM(H145:H149)</f>
        <v>0</v>
      </c>
      <c r="I144" s="67">
        <f>SUM(I145:I149)</f>
        <v>0</v>
      </c>
      <c r="J144" s="67">
        <f>SUM(J145:J149)</f>
        <v>0</v>
      </c>
      <c r="K144" s="67">
        <f>SUM(K145:K149)</f>
        <v>0</v>
      </c>
      <c r="L144" s="172" t="s">
        <v>495</v>
      </c>
      <c r="M144" s="175"/>
    </row>
    <row r="145" spans="1:13" ht="25.5">
      <c r="A145" s="180"/>
      <c r="B145" s="170"/>
      <c r="C145" s="173"/>
      <c r="D145" s="99" t="s">
        <v>24</v>
      </c>
      <c r="E145" s="67">
        <v>0</v>
      </c>
      <c r="F145" s="67">
        <f t="shared" si="20"/>
        <v>0</v>
      </c>
      <c r="G145" s="67">
        <v>0</v>
      </c>
      <c r="H145" s="67">
        <v>0</v>
      </c>
      <c r="I145" s="67">
        <v>0</v>
      </c>
      <c r="J145" s="67">
        <v>0</v>
      </c>
      <c r="K145" s="67">
        <v>0</v>
      </c>
      <c r="L145" s="173"/>
      <c r="M145" s="175"/>
    </row>
    <row r="146" spans="1:13" ht="25.5">
      <c r="A146" s="180"/>
      <c r="B146" s="170"/>
      <c r="C146" s="173"/>
      <c r="D146" s="99" t="s">
        <v>5</v>
      </c>
      <c r="E146" s="67">
        <v>221.94</v>
      </c>
      <c r="F146" s="67">
        <f t="shared" si="20"/>
        <v>71.02</v>
      </c>
      <c r="G146" s="67">
        <v>71.02</v>
      </c>
      <c r="H146" s="67">
        <v>0</v>
      </c>
      <c r="I146" s="67">
        <v>0</v>
      </c>
      <c r="J146" s="67">
        <v>0</v>
      </c>
      <c r="K146" s="67">
        <v>0</v>
      </c>
      <c r="L146" s="173"/>
      <c r="M146" s="175"/>
    </row>
    <row r="147" spans="1:13" ht="66" customHeight="1">
      <c r="A147" s="180"/>
      <c r="B147" s="170"/>
      <c r="C147" s="173"/>
      <c r="D147" s="99" t="s">
        <v>71</v>
      </c>
      <c r="E147" s="67">
        <v>6792</v>
      </c>
      <c r="F147" s="67">
        <f t="shared" si="20"/>
        <v>9286.7000000000007</v>
      </c>
      <c r="G147" s="67">
        <v>9286.7000000000007</v>
      </c>
      <c r="H147" s="67">
        <v>0</v>
      </c>
      <c r="I147" s="67">
        <v>0</v>
      </c>
      <c r="J147" s="67">
        <v>0</v>
      </c>
      <c r="K147" s="67">
        <v>0</v>
      </c>
      <c r="L147" s="173"/>
      <c r="M147" s="175"/>
    </row>
    <row r="148" spans="1:13" ht="38.25">
      <c r="A148" s="180"/>
      <c r="B148" s="170"/>
      <c r="C148" s="173"/>
      <c r="D148" s="99" t="s">
        <v>25</v>
      </c>
      <c r="E148" s="67">
        <v>0</v>
      </c>
      <c r="F148" s="67">
        <f t="shared" si="20"/>
        <v>0</v>
      </c>
      <c r="G148" s="67">
        <v>0</v>
      </c>
      <c r="H148" s="67">
        <v>0</v>
      </c>
      <c r="I148" s="67">
        <v>0</v>
      </c>
      <c r="J148" s="67">
        <v>0</v>
      </c>
      <c r="K148" s="67">
        <v>0</v>
      </c>
      <c r="L148" s="173"/>
      <c r="M148" s="175"/>
    </row>
    <row r="149" spans="1:13" ht="154.5" customHeight="1">
      <c r="A149" s="181"/>
      <c r="B149" s="171"/>
      <c r="C149" s="174"/>
      <c r="D149" s="99" t="s">
        <v>26</v>
      </c>
      <c r="E149" s="67">
        <v>0</v>
      </c>
      <c r="F149" s="67">
        <f t="shared" si="20"/>
        <v>0</v>
      </c>
      <c r="G149" s="67">
        <v>0</v>
      </c>
      <c r="H149" s="67">
        <v>0</v>
      </c>
      <c r="I149" s="67">
        <v>0</v>
      </c>
      <c r="J149" s="67">
        <v>0</v>
      </c>
      <c r="K149" s="67">
        <v>0</v>
      </c>
      <c r="L149" s="174"/>
      <c r="M149" s="176"/>
    </row>
    <row r="150" spans="1:13">
      <c r="A150" s="167" t="s">
        <v>305</v>
      </c>
      <c r="B150" s="160" t="s">
        <v>536</v>
      </c>
      <c r="C150" s="161" t="s">
        <v>3</v>
      </c>
      <c r="D150" s="99" t="s">
        <v>11</v>
      </c>
      <c r="E150" s="67">
        <f>SUM(E151:E155)</f>
        <v>13566.839999999998</v>
      </c>
      <c r="F150" s="67">
        <f t="shared" si="20"/>
        <v>80620.995219999997</v>
      </c>
      <c r="G150" s="67">
        <f>SUM(G151:G155)</f>
        <v>15045.49</v>
      </c>
      <c r="H150" s="67">
        <f>SUM(H151:H155)</f>
        <v>15627.595220000001</v>
      </c>
      <c r="I150" s="67">
        <f>SUM(I151:I155)</f>
        <v>16430.91</v>
      </c>
      <c r="J150" s="67">
        <f>SUM(J151:J155)</f>
        <v>16758.5</v>
      </c>
      <c r="K150" s="67">
        <f>SUM(K151:K155)</f>
        <v>16758.5</v>
      </c>
      <c r="L150" s="172" t="s">
        <v>496</v>
      </c>
      <c r="M150" s="172" t="s">
        <v>199</v>
      </c>
    </row>
    <row r="151" spans="1:13" ht="25.5">
      <c r="A151" s="167"/>
      <c r="B151" s="160"/>
      <c r="C151" s="161"/>
      <c r="D151" s="99" t="s">
        <v>24</v>
      </c>
      <c r="E151" s="67">
        <v>0</v>
      </c>
      <c r="F151" s="67">
        <f t="shared" si="20"/>
        <v>0</v>
      </c>
      <c r="G151" s="67">
        <v>0</v>
      </c>
      <c r="H151" s="67">
        <v>0</v>
      </c>
      <c r="I151" s="67">
        <v>0</v>
      </c>
      <c r="J151" s="67">
        <v>0</v>
      </c>
      <c r="K151" s="67">
        <v>0</v>
      </c>
      <c r="L151" s="173"/>
      <c r="M151" s="173"/>
    </row>
    <row r="152" spans="1:13" ht="25.5">
      <c r="A152" s="167"/>
      <c r="B152" s="160"/>
      <c r="C152" s="161"/>
      <c r="D152" s="99" t="s">
        <v>5</v>
      </c>
      <c r="E152" s="67">
        <v>689.63</v>
      </c>
      <c r="F152" s="67">
        <f t="shared" si="20"/>
        <v>119.02</v>
      </c>
      <c r="G152" s="67">
        <v>119.02</v>
      </c>
      <c r="H152" s="67">
        <v>0</v>
      </c>
      <c r="I152" s="67">
        <v>0</v>
      </c>
      <c r="J152" s="67">
        <v>0</v>
      </c>
      <c r="K152" s="67">
        <v>0</v>
      </c>
      <c r="L152" s="173"/>
      <c r="M152" s="173"/>
    </row>
    <row r="153" spans="1:13" ht="38.25">
      <c r="A153" s="167"/>
      <c r="B153" s="160"/>
      <c r="C153" s="161"/>
      <c r="D153" s="99" t="s">
        <v>71</v>
      </c>
      <c r="E153" s="67">
        <v>12877.21</v>
      </c>
      <c r="F153" s="67">
        <f t="shared" si="20"/>
        <v>80501.975219999993</v>
      </c>
      <c r="G153" s="67">
        <v>14926.47</v>
      </c>
      <c r="H153" s="67">
        <f>15627595.22/1000</f>
        <v>15627.595220000001</v>
      </c>
      <c r="I153" s="67">
        <f>16758.51-327600/1000</f>
        <v>16430.91</v>
      </c>
      <c r="J153" s="67">
        <v>16758.5</v>
      </c>
      <c r="K153" s="67">
        <v>16758.5</v>
      </c>
      <c r="L153" s="173"/>
      <c r="M153" s="173"/>
    </row>
    <row r="154" spans="1:13" ht="38.25">
      <c r="A154" s="163"/>
      <c r="B154" s="163"/>
      <c r="C154" s="163"/>
      <c r="D154" s="99" t="s">
        <v>25</v>
      </c>
      <c r="E154" s="67">
        <v>0</v>
      </c>
      <c r="F154" s="67">
        <f t="shared" si="20"/>
        <v>0</v>
      </c>
      <c r="G154" s="67">
        <v>0</v>
      </c>
      <c r="H154" s="67">
        <v>0</v>
      </c>
      <c r="I154" s="67">
        <f>H154</f>
        <v>0</v>
      </c>
      <c r="J154" s="67">
        <f>I154</f>
        <v>0</v>
      </c>
      <c r="K154" s="67">
        <f>J154</f>
        <v>0</v>
      </c>
      <c r="L154" s="173"/>
      <c r="M154" s="173"/>
    </row>
    <row r="155" spans="1:13" ht="25.5">
      <c r="A155" s="163"/>
      <c r="B155" s="163"/>
      <c r="C155" s="163"/>
      <c r="D155" s="99" t="s">
        <v>26</v>
      </c>
      <c r="E155" s="67">
        <v>0</v>
      </c>
      <c r="F155" s="67">
        <f t="shared" si="20"/>
        <v>0</v>
      </c>
      <c r="G155" s="67">
        <v>0</v>
      </c>
      <c r="H155" s="67">
        <v>0</v>
      </c>
      <c r="I155" s="67">
        <v>0</v>
      </c>
      <c r="J155" s="67">
        <v>0</v>
      </c>
      <c r="K155" s="67">
        <v>0</v>
      </c>
      <c r="L155" s="173"/>
      <c r="M155" s="173"/>
    </row>
    <row r="156" spans="1:13">
      <c r="A156" s="167" t="s">
        <v>537</v>
      </c>
      <c r="B156" s="160" t="s">
        <v>538</v>
      </c>
      <c r="C156" s="161" t="s">
        <v>3</v>
      </c>
      <c r="D156" s="99" t="s">
        <v>11</v>
      </c>
      <c r="E156" s="67">
        <f>SUM(E157:E161)</f>
        <v>7380.9299999999994</v>
      </c>
      <c r="F156" s="67">
        <f t="shared" ref="F156:F161" si="21">SUM(G156:K156)</f>
        <v>49762.489629999996</v>
      </c>
      <c r="G156" s="67">
        <f>SUM(G157:G161)</f>
        <v>8814.7199999999993</v>
      </c>
      <c r="H156" s="67">
        <f>SUM(H157:H161)</f>
        <v>9908.2196300000014</v>
      </c>
      <c r="I156" s="67">
        <f>SUM(I157:I161)</f>
        <v>10121.549999999999</v>
      </c>
      <c r="J156" s="67">
        <f>SUM(J157:J161)</f>
        <v>10459</v>
      </c>
      <c r="K156" s="67">
        <f>SUM(K157:K161)</f>
        <v>10459</v>
      </c>
      <c r="L156" s="172" t="s">
        <v>497</v>
      </c>
      <c r="M156" s="172" t="s">
        <v>199</v>
      </c>
    </row>
    <row r="157" spans="1:13" ht="25.5">
      <c r="A157" s="167"/>
      <c r="B157" s="160"/>
      <c r="C157" s="161"/>
      <c r="D157" s="99" t="s">
        <v>24</v>
      </c>
      <c r="E157" s="67">
        <v>0</v>
      </c>
      <c r="F157" s="67">
        <f t="shared" si="21"/>
        <v>0</v>
      </c>
      <c r="G157" s="67">
        <v>0</v>
      </c>
      <c r="H157" s="67">
        <v>0</v>
      </c>
      <c r="I157" s="67">
        <v>0</v>
      </c>
      <c r="J157" s="67">
        <v>0</v>
      </c>
      <c r="K157" s="67">
        <v>0</v>
      </c>
      <c r="L157" s="173"/>
      <c r="M157" s="173"/>
    </row>
    <row r="158" spans="1:13" ht="25.5">
      <c r="A158" s="167"/>
      <c r="B158" s="160"/>
      <c r="C158" s="161"/>
      <c r="D158" s="99" t="s">
        <v>5</v>
      </c>
      <c r="E158" s="67">
        <v>214.19</v>
      </c>
      <c r="F158" s="67">
        <f>SUM(G158:K158)</f>
        <v>53.17</v>
      </c>
      <c r="G158" s="67">
        <v>53.17</v>
      </c>
      <c r="H158" s="67">
        <v>0</v>
      </c>
      <c r="I158" s="67">
        <v>0</v>
      </c>
      <c r="J158" s="67">
        <v>0</v>
      </c>
      <c r="K158" s="67">
        <v>0</v>
      </c>
      <c r="L158" s="173"/>
      <c r="M158" s="173"/>
    </row>
    <row r="159" spans="1:13" ht="38.25">
      <c r="A159" s="167"/>
      <c r="B159" s="160"/>
      <c r="C159" s="161"/>
      <c r="D159" s="99" t="s">
        <v>71</v>
      </c>
      <c r="E159" s="67">
        <v>7166.74</v>
      </c>
      <c r="F159" s="67">
        <f>SUM(G159:K159)</f>
        <v>49709.319629999998</v>
      </c>
      <c r="G159" s="67">
        <v>8761.5499999999993</v>
      </c>
      <c r="H159" s="67">
        <f>9908219.63/1000</f>
        <v>9908.2196300000014</v>
      </c>
      <c r="I159" s="67">
        <v>10121.549999999999</v>
      </c>
      <c r="J159" s="67">
        <v>10459</v>
      </c>
      <c r="K159" s="67">
        <v>10459</v>
      </c>
      <c r="L159" s="173"/>
      <c r="M159" s="173"/>
    </row>
    <row r="160" spans="1:13" ht="38.25">
      <c r="A160" s="163"/>
      <c r="B160" s="163"/>
      <c r="C160" s="163"/>
      <c r="D160" s="99" t="s">
        <v>25</v>
      </c>
      <c r="E160" s="67">
        <v>0</v>
      </c>
      <c r="F160" s="67">
        <f t="shared" si="21"/>
        <v>0</v>
      </c>
      <c r="G160" s="67">
        <v>0</v>
      </c>
      <c r="H160" s="67">
        <v>0</v>
      </c>
      <c r="I160" s="67">
        <v>0</v>
      </c>
      <c r="J160" s="67">
        <v>0</v>
      </c>
      <c r="K160" s="67">
        <v>0</v>
      </c>
      <c r="L160" s="173"/>
      <c r="M160" s="173"/>
    </row>
    <row r="161" spans="1:13" ht="25.5">
      <c r="A161" s="163"/>
      <c r="B161" s="163"/>
      <c r="C161" s="163"/>
      <c r="D161" s="99" t="s">
        <v>26</v>
      </c>
      <c r="E161" s="67">
        <v>0</v>
      </c>
      <c r="F161" s="67">
        <f t="shared" si="21"/>
        <v>0</v>
      </c>
      <c r="G161" s="67">
        <v>0</v>
      </c>
      <c r="H161" s="67">
        <v>0</v>
      </c>
      <c r="I161" s="67">
        <v>0</v>
      </c>
      <c r="J161" s="67">
        <v>0</v>
      </c>
      <c r="K161" s="67">
        <v>0</v>
      </c>
      <c r="L161" s="173"/>
      <c r="M161" s="173"/>
    </row>
    <row r="162" spans="1:13" s="88" customFormat="1">
      <c r="A162" s="167" t="s">
        <v>306</v>
      </c>
      <c r="B162" s="160" t="s">
        <v>539</v>
      </c>
      <c r="C162" s="161" t="s">
        <v>46</v>
      </c>
      <c r="D162" s="99" t="s">
        <v>11</v>
      </c>
      <c r="E162" s="67">
        <f>SUM(E163:E167)</f>
        <v>0</v>
      </c>
      <c r="F162" s="67">
        <f t="shared" ref="F162:F167" si="22">SUM(G162:K162)</f>
        <v>3885</v>
      </c>
      <c r="G162" s="67">
        <f>SUM(G163:G167)</f>
        <v>0</v>
      </c>
      <c r="H162" s="67">
        <f>SUM(H163:H167)</f>
        <v>0</v>
      </c>
      <c r="I162" s="67">
        <f>SUM(I163:I167)</f>
        <v>0</v>
      </c>
      <c r="J162" s="67">
        <f>SUM(J163:J167)</f>
        <v>0</v>
      </c>
      <c r="K162" s="67">
        <f>SUM(K163:K167)</f>
        <v>3885</v>
      </c>
      <c r="L162" s="172" t="s">
        <v>494</v>
      </c>
      <c r="M162" s="172" t="s">
        <v>199</v>
      </c>
    </row>
    <row r="163" spans="1:13" s="88" customFormat="1" ht="25.5">
      <c r="A163" s="167"/>
      <c r="B163" s="160"/>
      <c r="C163" s="161"/>
      <c r="D163" s="99" t="s">
        <v>24</v>
      </c>
      <c r="E163" s="67">
        <v>0</v>
      </c>
      <c r="F163" s="67">
        <f t="shared" si="22"/>
        <v>0</v>
      </c>
      <c r="G163" s="67">
        <v>0</v>
      </c>
      <c r="H163" s="67">
        <v>0</v>
      </c>
      <c r="I163" s="67">
        <v>0</v>
      </c>
      <c r="J163" s="67">
        <v>0</v>
      </c>
      <c r="K163" s="67">
        <v>0</v>
      </c>
      <c r="L163" s="173"/>
      <c r="M163" s="173"/>
    </row>
    <row r="164" spans="1:13" s="88" customFormat="1" ht="25.5">
      <c r="A164" s="167"/>
      <c r="B164" s="160"/>
      <c r="C164" s="161"/>
      <c r="D164" s="99" t="s">
        <v>5</v>
      </c>
      <c r="E164" s="67">
        <v>0</v>
      </c>
      <c r="F164" s="67">
        <f t="shared" si="22"/>
        <v>1942.5</v>
      </c>
      <c r="G164" s="67">
        <v>0</v>
      </c>
      <c r="H164" s="67">
        <v>0</v>
      </c>
      <c r="I164" s="67">
        <v>0</v>
      </c>
      <c r="J164" s="67">
        <v>0</v>
      </c>
      <c r="K164" s="67">
        <v>1942.5</v>
      </c>
      <c r="L164" s="173"/>
      <c r="M164" s="173"/>
    </row>
    <row r="165" spans="1:13" s="88" customFormat="1" ht="38.25">
      <c r="A165" s="167"/>
      <c r="B165" s="160"/>
      <c r="C165" s="161"/>
      <c r="D165" s="99" t="s">
        <v>71</v>
      </c>
      <c r="E165" s="67">
        <v>0</v>
      </c>
      <c r="F165" s="67">
        <f t="shared" si="22"/>
        <v>1942.5</v>
      </c>
      <c r="G165" s="67">
        <v>0</v>
      </c>
      <c r="H165" s="67">
        <v>0</v>
      </c>
      <c r="I165" s="67">
        <v>0</v>
      </c>
      <c r="J165" s="67">
        <v>0</v>
      </c>
      <c r="K165" s="67">
        <v>1942.5</v>
      </c>
      <c r="L165" s="173"/>
      <c r="M165" s="173"/>
    </row>
    <row r="166" spans="1:13" s="88" customFormat="1" ht="38.25">
      <c r="A166" s="163"/>
      <c r="B166" s="163"/>
      <c r="C166" s="163"/>
      <c r="D166" s="99" t="s">
        <v>25</v>
      </c>
      <c r="E166" s="67">
        <v>0</v>
      </c>
      <c r="F166" s="67">
        <f t="shared" si="22"/>
        <v>0</v>
      </c>
      <c r="G166" s="67">
        <v>0</v>
      </c>
      <c r="H166" s="67">
        <v>0</v>
      </c>
      <c r="I166" s="67">
        <v>0</v>
      </c>
      <c r="J166" s="67">
        <v>0</v>
      </c>
      <c r="K166" s="67">
        <v>0</v>
      </c>
      <c r="L166" s="173"/>
      <c r="M166" s="173"/>
    </row>
    <row r="167" spans="1:13" s="88" customFormat="1" ht="25.5">
      <c r="A167" s="163"/>
      <c r="B167" s="163"/>
      <c r="C167" s="163"/>
      <c r="D167" s="99" t="s">
        <v>26</v>
      </c>
      <c r="E167" s="67">
        <v>0</v>
      </c>
      <c r="F167" s="67">
        <f t="shared" si="22"/>
        <v>0</v>
      </c>
      <c r="G167" s="67">
        <v>0</v>
      </c>
      <c r="H167" s="67">
        <v>0</v>
      </c>
      <c r="I167" s="67">
        <v>0</v>
      </c>
      <c r="J167" s="67">
        <v>0</v>
      </c>
      <c r="K167" s="67">
        <v>0</v>
      </c>
      <c r="L167" s="174"/>
      <c r="M167" s="174"/>
    </row>
    <row r="168" spans="1:13" s="88" customFormat="1" ht="156" customHeight="1">
      <c r="A168" s="154" t="s">
        <v>307</v>
      </c>
      <c r="B168" s="155" t="s">
        <v>540</v>
      </c>
      <c r="C168" s="99" t="s">
        <v>261</v>
      </c>
      <c r="D168" s="99"/>
      <c r="E168" s="67" t="s">
        <v>84</v>
      </c>
      <c r="F168" s="67" t="s">
        <v>84</v>
      </c>
      <c r="G168" s="67" t="s">
        <v>84</v>
      </c>
      <c r="H168" s="67" t="s">
        <v>84</v>
      </c>
      <c r="I168" s="67" t="s">
        <v>84</v>
      </c>
      <c r="J168" s="67" t="s">
        <v>84</v>
      </c>
      <c r="K168" s="67" t="s">
        <v>84</v>
      </c>
      <c r="L168" s="134" t="s">
        <v>498</v>
      </c>
      <c r="M168" s="100" t="s">
        <v>308</v>
      </c>
    </row>
    <row r="169" spans="1:13" s="78" customFormat="1" ht="99.75" customHeight="1">
      <c r="A169" s="101" t="s">
        <v>91</v>
      </c>
      <c r="B169" s="131" t="s">
        <v>315</v>
      </c>
      <c r="C169" s="99" t="s">
        <v>3</v>
      </c>
      <c r="D169" s="97"/>
      <c r="E169" s="67" t="s">
        <v>84</v>
      </c>
      <c r="F169" s="67" t="s">
        <v>84</v>
      </c>
      <c r="G169" s="67" t="s">
        <v>84</v>
      </c>
      <c r="H169" s="67" t="s">
        <v>84</v>
      </c>
      <c r="I169" s="67" t="s">
        <v>84</v>
      </c>
      <c r="J169" s="67" t="s">
        <v>84</v>
      </c>
      <c r="K169" s="67" t="s">
        <v>84</v>
      </c>
      <c r="L169" s="136" t="s">
        <v>486</v>
      </c>
      <c r="M169" s="100" t="s">
        <v>202</v>
      </c>
    </row>
    <row r="170" spans="1:13" s="78" customFormat="1" ht="84.75" customHeight="1">
      <c r="A170" s="101" t="s">
        <v>312</v>
      </c>
      <c r="B170" s="130" t="s">
        <v>83</v>
      </c>
      <c r="C170" s="99" t="s">
        <v>3</v>
      </c>
      <c r="D170" s="99"/>
      <c r="E170" s="67" t="s">
        <v>84</v>
      </c>
      <c r="F170" s="67" t="s">
        <v>84</v>
      </c>
      <c r="G170" s="67" t="s">
        <v>84</v>
      </c>
      <c r="H170" s="67" t="s">
        <v>84</v>
      </c>
      <c r="I170" s="67" t="s">
        <v>84</v>
      </c>
      <c r="J170" s="67" t="s">
        <v>84</v>
      </c>
      <c r="K170" s="67" t="s">
        <v>84</v>
      </c>
      <c r="L170" s="136" t="s">
        <v>499</v>
      </c>
      <c r="M170" s="100" t="s">
        <v>202</v>
      </c>
    </row>
    <row r="171" spans="1:13" ht="15" customHeight="1">
      <c r="A171" s="167" t="s">
        <v>93</v>
      </c>
      <c r="B171" s="164" t="s">
        <v>316</v>
      </c>
      <c r="C171" s="161" t="s">
        <v>3</v>
      </c>
      <c r="D171" s="97" t="s">
        <v>11</v>
      </c>
      <c r="E171" s="54">
        <f>SUM(E172:E176)</f>
        <v>0</v>
      </c>
      <c r="F171" s="54">
        <f t="shared" ref="F171:F176" si="23">G171</f>
        <v>200</v>
      </c>
      <c r="G171" s="54">
        <f>SUM(G172:G176)</f>
        <v>200</v>
      </c>
      <c r="H171" s="67" t="s">
        <v>84</v>
      </c>
      <c r="I171" s="67" t="s">
        <v>84</v>
      </c>
      <c r="J171" s="67" t="s">
        <v>84</v>
      </c>
      <c r="K171" s="67" t="s">
        <v>84</v>
      </c>
      <c r="L171" s="172" t="s">
        <v>500</v>
      </c>
      <c r="M171" s="172" t="s">
        <v>320</v>
      </c>
    </row>
    <row r="172" spans="1:13" ht="42.75" customHeight="1">
      <c r="A172" s="167"/>
      <c r="B172" s="164"/>
      <c r="C172" s="161"/>
      <c r="D172" s="99" t="s">
        <v>24</v>
      </c>
      <c r="E172" s="67">
        <f>E180+E186</f>
        <v>0</v>
      </c>
      <c r="F172" s="67">
        <f t="shared" si="23"/>
        <v>0</v>
      </c>
      <c r="G172" s="67">
        <f>G180+G186</f>
        <v>0</v>
      </c>
      <c r="H172" s="67" t="s">
        <v>84</v>
      </c>
      <c r="I172" s="67" t="s">
        <v>84</v>
      </c>
      <c r="J172" s="67" t="s">
        <v>84</v>
      </c>
      <c r="K172" s="67" t="s">
        <v>84</v>
      </c>
      <c r="L172" s="173"/>
      <c r="M172" s="173"/>
    </row>
    <row r="173" spans="1:13" ht="25.5">
      <c r="A173" s="167"/>
      <c r="B173" s="165"/>
      <c r="C173" s="161"/>
      <c r="D173" s="99" t="s">
        <v>5</v>
      </c>
      <c r="E173" s="67">
        <f t="shared" ref="E173:G176" si="24">E181+E187</f>
        <v>0</v>
      </c>
      <c r="F173" s="67">
        <f t="shared" si="23"/>
        <v>0</v>
      </c>
      <c r="G173" s="67">
        <f t="shared" si="24"/>
        <v>0</v>
      </c>
      <c r="H173" s="67" t="s">
        <v>84</v>
      </c>
      <c r="I173" s="67" t="s">
        <v>84</v>
      </c>
      <c r="J173" s="67" t="s">
        <v>84</v>
      </c>
      <c r="K173" s="67" t="s">
        <v>84</v>
      </c>
      <c r="L173" s="173"/>
      <c r="M173" s="173"/>
    </row>
    <row r="174" spans="1:13" ht="38.25">
      <c r="A174" s="167"/>
      <c r="B174" s="165"/>
      <c r="C174" s="161"/>
      <c r="D174" s="99" t="s">
        <v>71</v>
      </c>
      <c r="E174" s="67">
        <f t="shared" si="24"/>
        <v>0</v>
      </c>
      <c r="F174" s="67">
        <f t="shared" si="23"/>
        <v>0</v>
      </c>
      <c r="G174" s="67">
        <f t="shared" si="24"/>
        <v>0</v>
      </c>
      <c r="H174" s="67" t="s">
        <v>84</v>
      </c>
      <c r="I174" s="67" t="s">
        <v>84</v>
      </c>
      <c r="J174" s="67" t="s">
        <v>84</v>
      </c>
      <c r="K174" s="67" t="s">
        <v>84</v>
      </c>
      <c r="L174" s="173"/>
      <c r="M174" s="173"/>
    </row>
    <row r="175" spans="1:13" ht="67.5" customHeight="1">
      <c r="A175" s="163"/>
      <c r="B175" s="166"/>
      <c r="C175" s="163"/>
      <c r="D175" s="99" t="s">
        <v>25</v>
      </c>
      <c r="E175" s="67">
        <f t="shared" si="24"/>
        <v>0</v>
      </c>
      <c r="F175" s="67">
        <f t="shared" si="23"/>
        <v>200</v>
      </c>
      <c r="G175" s="67">
        <f t="shared" si="24"/>
        <v>200</v>
      </c>
      <c r="H175" s="67" t="s">
        <v>84</v>
      </c>
      <c r="I175" s="67" t="s">
        <v>84</v>
      </c>
      <c r="J175" s="67" t="s">
        <v>84</v>
      </c>
      <c r="K175" s="67" t="s">
        <v>84</v>
      </c>
      <c r="L175" s="173"/>
      <c r="M175" s="173"/>
    </row>
    <row r="176" spans="1:13" ht="29.25" customHeight="1">
      <c r="A176" s="163"/>
      <c r="B176" s="166"/>
      <c r="C176" s="163"/>
      <c r="D176" s="99" t="s">
        <v>26</v>
      </c>
      <c r="E176" s="67">
        <f t="shared" si="24"/>
        <v>0</v>
      </c>
      <c r="F176" s="67">
        <f t="shared" si="23"/>
        <v>0</v>
      </c>
      <c r="G176" s="67">
        <f t="shared" si="24"/>
        <v>0</v>
      </c>
      <c r="H176" s="67" t="s">
        <v>84</v>
      </c>
      <c r="I176" s="67" t="s">
        <v>84</v>
      </c>
      <c r="J176" s="67" t="s">
        <v>84</v>
      </c>
      <c r="K176" s="67" t="s">
        <v>84</v>
      </c>
      <c r="L176" s="174"/>
      <c r="M176" s="174"/>
    </row>
    <row r="177" spans="1:13" s="88" customFormat="1" ht="85.5" customHeight="1">
      <c r="A177" s="101" t="s">
        <v>94</v>
      </c>
      <c r="B177" s="142" t="s">
        <v>392</v>
      </c>
      <c r="C177" s="99" t="s">
        <v>3</v>
      </c>
      <c r="D177" s="99"/>
      <c r="E177" s="67" t="s">
        <v>84</v>
      </c>
      <c r="F177" s="67" t="s">
        <v>84</v>
      </c>
      <c r="G177" s="67" t="s">
        <v>84</v>
      </c>
      <c r="H177" s="67" t="s">
        <v>84</v>
      </c>
      <c r="I177" s="67" t="s">
        <v>84</v>
      </c>
      <c r="J177" s="67" t="s">
        <v>84</v>
      </c>
      <c r="K177" s="67" t="s">
        <v>84</v>
      </c>
      <c r="L177" s="136" t="s">
        <v>499</v>
      </c>
      <c r="M177" s="99" t="s">
        <v>86</v>
      </c>
    </row>
    <row r="178" spans="1:13" ht="114" customHeight="1">
      <c r="A178" s="101" t="s">
        <v>204</v>
      </c>
      <c r="B178" s="130" t="s">
        <v>393</v>
      </c>
      <c r="C178" s="99" t="s">
        <v>44</v>
      </c>
      <c r="D178" s="67"/>
      <c r="E178" s="67" t="s">
        <v>84</v>
      </c>
      <c r="F178" s="67" t="s">
        <v>84</v>
      </c>
      <c r="G178" s="67" t="s">
        <v>84</v>
      </c>
      <c r="H178" s="67" t="s">
        <v>84</v>
      </c>
      <c r="I178" s="67" t="s">
        <v>84</v>
      </c>
      <c r="J178" s="67" t="s">
        <v>84</v>
      </c>
      <c r="K178" s="67" t="s">
        <v>84</v>
      </c>
      <c r="L178" s="136" t="s">
        <v>499</v>
      </c>
      <c r="M178" s="99" t="s">
        <v>321</v>
      </c>
    </row>
    <row r="179" spans="1:13">
      <c r="A179" s="167" t="s">
        <v>317</v>
      </c>
      <c r="B179" s="160" t="s">
        <v>394</v>
      </c>
      <c r="C179" s="161" t="s">
        <v>42</v>
      </c>
      <c r="D179" s="99" t="s">
        <v>11</v>
      </c>
      <c r="E179" s="67">
        <f>SUM(E180:E184)</f>
        <v>0</v>
      </c>
      <c r="F179" s="67">
        <f>SUM(G179:K179)</f>
        <v>100</v>
      </c>
      <c r="G179" s="67">
        <f>SUM(G180:G184)</f>
        <v>100</v>
      </c>
      <c r="H179" s="67" t="s">
        <v>55</v>
      </c>
      <c r="I179" s="67" t="s">
        <v>55</v>
      </c>
      <c r="J179" s="67" t="s">
        <v>55</v>
      </c>
      <c r="K179" s="67" t="s">
        <v>55</v>
      </c>
      <c r="L179" s="172" t="s">
        <v>501</v>
      </c>
      <c r="M179" s="172" t="s">
        <v>318</v>
      </c>
    </row>
    <row r="180" spans="1:13" ht="25.5">
      <c r="A180" s="167"/>
      <c r="B180" s="164"/>
      <c r="C180" s="161"/>
      <c r="D180" s="99" t="s">
        <v>24</v>
      </c>
      <c r="E180" s="67">
        <v>0</v>
      </c>
      <c r="F180" s="67">
        <f>SUM(G180:K180)</f>
        <v>0</v>
      </c>
      <c r="G180" s="67">
        <v>0</v>
      </c>
      <c r="H180" s="67" t="s">
        <v>55</v>
      </c>
      <c r="I180" s="67" t="s">
        <v>55</v>
      </c>
      <c r="J180" s="67" t="s">
        <v>55</v>
      </c>
      <c r="K180" s="67" t="s">
        <v>55</v>
      </c>
      <c r="L180" s="173"/>
      <c r="M180" s="173"/>
    </row>
    <row r="181" spans="1:13" ht="25.5">
      <c r="A181" s="167"/>
      <c r="B181" s="165"/>
      <c r="C181" s="161"/>
      <c r="D181" s="99" t="s">
        <v>5</v>
      </c>
      <c r="E181" s="67">
        <v>0</v>
      </c>
      <c r="F181" s="67">
        <f>SUM(G181:K181)</f>
        <v>0</v>
      </c>
      <c r="G181" s="67">
        <v>0</v>
      </c>
      <c r="H181" s="67" t="s">
        <v>55</v>
      </c>
      <c r="I181" s="67" t="s">
        <v>55</v>
      </c>
      <c r="J181" s="67" t="s">
        <v>55</v>
      </c>
      <c r="K181" s="67" t="s">
        <v>55</v>
      </c>
      <c r="L181" s="173"/>
      <c r="M181" s="173"/>
    </row>
    <row r="182" spans="1:13" ht="38.25">
      <c r="A182" s="167"/>
      <c r="B182" s="165"/>
      <c r="C182" s="161"/>
      <c r="D182" s="99" t="s">
        <v>71</v>
      </c>
      <c r="E182" s="67">
        <v>0</v>
      </c>
      <c r="F182" s="67">
        <f>SUM(G182:K182)</f>
        <v>0</v>
      </c>
      <c r="G182" s="67">
        <v>0</v>
      </c>
      <c r="H182" s="67" t="s">
        <v>55</v>
      </c>
      <c r="I182" s="67" t="s">
        <v>55</v>
      </c>
      <c r="J182" s="67" t="s">
        <v>55</v>
      </c>
      <c r="K182" s="67" t="s">
        <v>55</v>
      </c>
      <c r="L182" s="173"/>
      <c r="M182" s="173"/>
    </row>
    <row r="183" spans="1:13" ht="38.25">
      <c r="A183" s="163"/>
      <c r="B183" s="166"/>
      <c r="C183" s="163"/>
      <c r="D183" s="99" t="s">
        <v>25</v>
      </c>
      <c r="E183" s="67">
        <v>0</v>
      </c>
      <c r="F183" s="67">
        <f t="shared" ref="F183:F190" si="25">SUM(G183:K183)</f>
        <v>100</v>
      </c>
      <c r="G183" s="67">
        <v>100</v>
      </c>
      <c r="H183" s="67" t="s">
        <v>55</v>
      </c>
      <c r="I183" s="67" t="s">
        <v>55</v>
      </c>
      <c r="J183" s="67" t="s">
        <v>55</v>
      </c>
      <c r="K183" s="67" t="s">
        <v>55</v>
      </c>
      <c r="L183" s="173"/>
      <c r="M183" s="173"/>
    </row>
    <row r="184" spans="1:13" ht="25.5">
      <c r="A184" s="163"/>
      <c r="B184" s="166"/>
      <c r="C184" s="163"/>
      <c r="D184" s="99" t="s">
        <v>26</v>
      </c>
      <c r="E184" s="67">
        <v>0</v>
      </c>
      <c r="F184" s="67">
        <f t="shared" si="25"/>
        <v>0</v>
      </c>
      <c r="G184" s="67">
        <v>0</v>
      </c>
      <c r="H184" s="67" t="s">
        <v>55</v>
      </c>
      <c r="I184" s="67" t="s">
        <v>55</v>
      </c>
      <c r="J184" s="67" t="s">
        <v>55</v>
      </c>
      <c r="K184" s="67" t="s">
        <v>55</v>
      </c>
      <c r="L184" s="174"/>
      <c r="M184" s="174"/>
    </row>
    <row r="185" spans="1:13">
      <c r="A185" s="167" t="s">
        <v>323</v>
      </c>
      <c r="B185" s="160" t="s">
        <v>395</v>
      </c>
      <c r="C185" s="161" t="s">
        <v>42</v>
      </c>
      <c r="D185" s="99" t="s">
        <v>11</v>
      </c>
      <c r="E185" s="67">
        <f>SUM(E186:E190)</f>
        <v>0</v>
      </c>
      <c r="F185" s="67">
        <f t="shared" si="25"/>
        <v>100</v>
      </c>
      <c r="G185" s="67">
        <f>SUM(G186:G190)</f>
        <v>100</v>
      </c>
      <c r="H185" s="67" t="s">
        <v>55</v>
      </c>
      <c r="I185" s="67" t="s">
        <v>55</v>
      </c>
      <c r="J185" s="67" t="s">
        <v>55</v>
      </c>
      <c r="K185" s="67" t="s">
        <v>55</v>
      </c>
      <c r="L185" s="172" t="s">
        <v>501</v>
      </c>
      <c r="M185" s="172" t="s">
        <v>319</v>
      </c>
    </row>
    <row r="186" spans="1:13" ht="25.5">
      <c r="A186" s="167"/>
      <c r="B186" s="164"/>
      <c r="C186" s="161"/>
      <c r="D186" s="99" t="s">
        <v>24</v>
      </c>
      <c r="E186" s="67">
        <v>0</v>
      </c>
      <c r="F186" s="67">
        <f t="shared" si="25"/>
        <v>0</v>
      </c>
      <c r="G186" s="67">
        <v>0</v>
      </c>
      <c r="H186" s="67" t="s">
        <v>55</v>
      </c>
      <c r="I186" s="67" t="s">
        <v>55</v>
      </c>
      <c r="J186" s="67" t="s">
        <v>55</v>
      </c>
      <c r="K186" s="67" t="s">
        <v>55</v>
      </c>
      <c r="L186" s="173"/>
      <c r="M186" s="173"/>
    </row>
    <row r="187" spans="1:13" ht="25.5">
      <c r="A187" s="167"/>
      <c r="B187" s="165"/>
      <c r="C187" s="161"/>
      <c r="D187" s="99" t="s">
        <v>5</v>
      </c>
      <c r="E187" s="67">
        <v>0</v>
      </c>
      <c r="F187" s="67">
        <f t="shared" si="25"/>
        <v>0</v>
      </c>
      <c r="G187" s="67">
        <v>0</v>
      </c>
      <c r="H187" s="67" t="s">
        <v>55</v>
      </c>
      <c r="I187" s="67" t="s">
        <v>55</v>
      </c>
      <c r="J187" s="67" t="s">
        <v>55</v>
      </c>
      <c r="K187" s="67" t="s">
        <v>55</v>
      </c>
      <c r="L187" s="173"/>
      <c r="M187" s="173"/>
    </row>
    <row r="188" spans="1:13" ht="38.25">
      <c r="A188" s="167"/>
      <c r="B188" s="165"/>
      <c r="C188" s="161"/>
      <c r="D188" s="99" t="s">
        <v>71</v>
      </c>
      <c r="E188" s="67">
        <v>0</v>
      </c>
      <c r="F188" s="67">
        <f t="shared" si="25"/>
        <v>0</v>
      </c>
      <c r="G188" s="67">
        <v>0</v>
      </c>
      <c r="H188" s="67" t="s">
        <v>55</v>
      </c>
      <c r="I188" s="67" t="s">
        <v>55</v>
      </c>
      <c r="J188" s="67" t="s">
        <v>55</v>
      </c>
      <c r="K188" s="67" t="s">
        <v>55</v>
      </c>
      <c r="L188" s="173"/>
      <c r="M188" s="173"/>
    </row>
    <row r="189" spans="1:13" ht="38.25">
      <c r="A189" s="163"/>
      <c r="B189" s="166"/>
      <c r="C189" s="163"/>
      <c r="D189" s="99" t="s">
        <v>25</v>
      </c>
      <c r="E189" s="67">
        <v>0</v>
      </c>
      <c r="F189" s="67">
        <f t="shared" si="25"/>
        <v>100</v>
      </c>
      <c r="G189" s="67">
        <v>100</v>
      </c>
      <c r="H189" s="67" t="s">
        <v>55</v>
      </c>
      <c r="I189" s="67" t="s">
        <v>55</v>
      </c>
      <c r="J189" s="67" t="s">
        <v>55</v>
      </c>
      <c r="K189" s="67" t="s">
        <v>55</v>
      </c>
      <c r="L189" s="173"/>
      <c r="M189" s="173"/>
    </row>
    <row r="190" spans="1:13" ht="25.5">
      <c r="A190" s="163"/>
      <c r="B190" s="166"/>
      <c r="C190" s="163"/>
      <c r="D190" s="99" t="s">
        <v>26</v>
      </c>
      <c r="E190" s="67">
        <v>0</v>
      </c>
      <c r="F190" s="67">
        <f t="shared" si="25"/>
        <v>0</v>
      </c>
      <c r="G190" s="67">
        <v>0</v>
      </c>
      <c r="H190" s="67" t="s">
        <v>55</v>
      </c>
      <c r="I190" s="67" t="s">
        <v>55</v>
      </c>
      <c r="J190" s="67" t="s">
        <v>55</v>
      </c>
      <c r="K190" s="67" t="s">
        <v>55</v>
      </c>
      <c r="L190" s="174"/>
      <c r="M190" s="174"/>
    </row>
    <row r="191" spans="1:13">
      <c r="A191" s="167" t="s">
        <v>98</v>
      </c>
      <c r="B191" s="164" t="s">
        <v>325</v>
      </c>
      <c r="C191" s="161" t="s">
        <v>42</v>
      </c>
      <c r="D191" s="97" t="s">
        <v>11</v>
      </c>
      <c r="E191" s="54">
        <f>SUM(E192:E196)</f>
        <v>2870.3</v>
      </c>
      <c r="F191" s="54">
        <f t="shared" ref="F191:F196" si="26">G191</f>
        <v>90782.6</v>
      </c>
      <c r="G191" s="54">
        <f>SUM(G192:G196)</f>
        <v>90782.6</v>
      </c>
      <c r="H191" s="67" t="s">
        <v>55</v>
      </c>
      <c r="I191" s="67" t="s">
        <v>55</v>
      </c>
      <c r="J191" s="67" t="s">
        <v>55</v>
      </c>
      <c r="K191" s="67" t="s">
        <v>55</v>
      </c>
      <c r="L191" s="172" t="s">
        <v>96</v>
      </c>
      <c r="M191" s="172" t="s">
        <v>97</v>
      </c>
    </row>
    <row r="192" spans="1:13" ht="25.5">
      <c r="A192" s="167"/>
      <c r="B192" s="164"/>
      <c r="C192" s="161"/>
      <c r="D192" s="99" t="s">
        <v>24</v>
      </c>
      <c r="E192" s="67">
        <f>E198</f>
        <v>0</v>
      </c>
      <c r="F192" s="67">
        <f t="shared" si="26"/>
        <v>0</v>
      </c>
      <c r="G192" s="67">
        <f>G198</f>
        <v>0</v>
      </c>
      <c r="H192" s="67" t="s">
        <v>55</v>
      </c>
      <c r="I192" s="67" t="s">
        <v>55</v>
      </c>
      <c r="J192" s="67" t="s">
        <v>55</v>
      </c>
      <c r="K192" s="67" t="s">
        <v>55</v>
      </c>
      <c r="L192" s="173"/>
      <c r="M192" s="173"/>
    </row>
    <row r="193" spans="1:13" ht="25.5">
      <c r="A193" s="167"/>
      <c r="B193" s="165"/>
      <c r="C193" s="161"/>
      <c r="D193" s="99" t="s">
        <v>5</v>
      </c>
      <c r="E193" s="67">
        <f t="shared" ref="E193:G196" si="27">E199</f>
        <v>2583.3000000000002</v>
      </c>
      <c r="F193" s="67">
        <f t="shared" si="26"/>
        <v>81703</v>
      </c>
      <c r="G193" s="67">
        <f t="shared" si="27"/>
        <v>81703</v>
      </c>
      <c r="H193" s="67" t="s">
        <v>55</v>
      </c>
      <c r="I193" s="67" t="s">
        <v>55</v>
      </c>
      <c r="J193" s="67" t="s">
        <v>55</v>
      </c>
      <c r="K193" s="67" t="s">
        <v>55</v>
      </c>
      <c r="L193" s="173"/>
      <c r="M193" s="173"/>
    </row>
    <row r="194" spans="1:13" ht="38.25">
      <c r="A194" s="167"/>
      <c r="B194" s="165"/>
      <c r="C194" s="161"/>
      <c r="D194" s="99" t="s">
        <v>71</v>
      </c>
      <c r="E194" s="67">
        <f t="shared" si="27"/>
        <v>0</v>
      </c>
      <c r="F194" s="67">
        <f t="shared" si="26"/>
        <v>0</v>
      </c>
      <c r="G194" s="67">
        <f t="shared" si="27"/>
        <v>0</v>
      </c>
      <c r="H194" s="67" t="s">
        <v>55</v>
      </c>
      <c r="I194" s="67" t="s">
        <v>55</v>
      </c>
      <c r="J194" s="67" t="s">
        <v>55</v>
      </c>
      <c r="K194" s="67" t="s">
        <v>55</v>
      </c>
      <c r="L194" s="173"/>
      <c r="M194" s="173"/>
    </row>
    <row r="195" spans="1:13" ht="38.25">
      <c r="A195" s="163"/>
      <c r="B195" s="166"/>
      <c r="C195" s="163"/>
      <c r="D195" s="99" t="s">
        <v>25</v>
      </c>
      <c r="E195" s="67">
        <f t="shared" si="27"/>
        <v>287</v>
      </c>
      <c r="F195" s="67">
        <f t="shared" si="26"/>
        <v>9079.6</v>
      </c>
      <c r="G195" s="67">
        <f t="shared" si="27"/>
        <v>9079.6</v>
      </c>
      <c r="H195" s="67" t="s">
        <v>55</v>
      </c>
      <c r="I195" s="67" t="s">
        <v>55</v>
      </c>
      <c r="J195" s="67" t="s">
        <v>55</v>
      </c>
      <c r="K195" s="67" t="s">
        <v>55</v>
      </c>
      <c r="L195" s="173"/>
      <c r="M195" s="173"/>
    </row>
    <row r="196" spans="1:13" ht="25.5">
      <c r="A196" s="163"/>
      <c r="B196" s="166"/>
      <c r="C196" s="163"/>
      <c r="D196" s="99" t="s">
        <v>26</v>
      </c>
      <c r="E196" s="67">
        <f t="shared" si="27"/>
        <v>0</v>
      </c>
      <c r="F196" s="67">
        <f t="shared" si="26"/>
        <v>0</v>
      </c>
      <c r="G196" s="67">
        <f t="shared" si="27"/>
        <v>0</v>
      </c>
      <c r="H196" s="67" t="s">
        <v>55</v>
      </c>
      <c r="I196" s="67" t="s">
        <v>55</v>
      </c>
      <c r="J196" s="67" t="s">
        <v>55</v>
      </c>
      <c r="K196" s="67" t="s">
        <v>55</v>
      </c>
      <c r="L196" s="174"/>
      <c r="M196" s="174"/>
    </row>
    <row r="197" spans="1:13">
      <c r="A197" s="167" t="s">
        <v>99</v>
      </c>
      <c r="B197" s="160" t="s">
        <v>95</v>
      </c>
      <c r="C197" s="161" t="s">
        <v>42</v>
      </c>
      <c r="D197" s="99" t="s">
        <v>11</v>
      </c>
      <c r="E197" s="67">
        <f>SUM(E198:E202)</f>
        <v>2870.3</v>
      </c>
      <c r="F197" s="67">
        <f t="shared" ref="F197:F202" si="28">SUM(G197:K197)</f>
        <v>90782.6</v>
      </c>
      <c r="G197" s="67">
        <f>SUM(G198:G202)</f>
        <v>90782.6</v>
      </c>
      <c r="H197" s="67" t="s">
        <v>55</v>
      </c>
      <c r="I197" s="67" t="s">
        <v>55</v>
      </c>
      <c r="J197" s="67" t="s">
        <v>55</v>
      </c>
      <c r="K197" s="67" t="s">
        <v>55</v>
      </c>
      <c r="L197" s="172" t="s">
        <v>96</v>
      </c>
      <c r="M197" s="172" t="s">
        <v>203</v>
      </c>
    </row>
    <row r="198" spans="1:13" ht="25.5">
      <c r="A198" s="167"/>
      <c r="B198" s="164"/>
      <c r="C198" s="161"/>
      <c r="D198" s="99" t="s">
        <v>24</v>
      </c>
      <c r="E198" s="67">
        <v>0</v>
      </c>
      <c r="F198" s="67">
        <f t="shared" si="28"/>
        <v>0</v>
      </c>
      <c r="G198" s="67">
        <v>0</v>
      </c>
      <c r="H198" s="67" t="s">
        <v>55</v>
      </c>
      <c r="I198" s="67" t="s">
        <v>55</v>
      </c>
      <c r="J198" s="67" t="s">
        <v>55</v>
      </c>
      <c r="K198" s="67" t="s">
        <v>55</v>
      </c>
      <c r="L198" s="173"/>
      <c r="M198" s="173"/>
    </row>
    <row r="199" spans="1:13" ht="25.5">
      <c r="A199" s="167"/>
      <c r="B199" s="165"/>
      <c r="C199" s="161"/>
      <c r="D199" s="99" t="s">
        <v>5</v>
      </c>
      <c r="E199" s="67">
        <v>2583.3000000000002</v>
      </c>
      <c r="F199" s="67">
        <f t="shared" si="28"/>
        <v>81703</v>
      </c>
      <c r="G199" s="67">
        <v>81703</v>
      </c>
      <c r="H199" s="67" t="s">
        <v>55</v>
      </c>
      <c r="I199" s="67" t="s">
        <v>55</v>
      </c>
      <c r="J199" s="67" t="s">
        <v>55</v>
      </c>
      <c r="K199" s="67" t="s">
        <v>55</v>
      </c>
      <c r="L199" s="173"/>
      <c r="M199" s="173"/>
    </row>
    <row r="200" spans="1:13" ht="38.25">
      <c r="A200" s="167"/>
      <c r="B200" s="165"/>
      <c r="C200" s="161"/>
      <c r="D200" s="99" t="s">
        <v>71</v>
      </c>
      <c r="E200" s="67">
        <v>0</v>
      </c>
      <c r="F200" s="67">
        <f t="shared" si="28"/>
        <v>0</v>
      </c>
      <c r="G200" s="67">
        <v>0</v>
      </c>
      <c r="H200" s="67" t="s">
        <v>55</v>
      </c>
      <c r="I200" s="67" t="s">
        <v>55</v>
      </c>
      <c r="J200" s="67" t="s">
        <v>55</v>
      </c>
      <c r="K200" s="67" t="s">
        <v>55</v>
      </c>
      <c r="L200" s="173"/>
      <c r="M200" s="173"/>
    </row>
    <row r="201" spans="1:13" ht="38.25">
      <c r="A201" s="163"/>
      <c r="B201" s="166"/>
      <c r="C201" s="163"/>
      <c r="D201" s="99" t="s">
        <v>25</v>
      </c>
      <c r="E201" s="67">
        <v>287</v>
      </c>
      <c r="F201" s="67">
        <f t="shared" si="28"/>
        <v>9079.6</v>
      </c>
      <c r="G201" s="67">
        <v>9079.6</v>
      </c>
      <c r="H201" s="67" t="s">
        <v>55</v>
      </c>
      <c r="I201" s="67" t="s">
        <v>55</v>
      </c>
      <c r="J201" s="67" t="s">
        <v>55</v>
      </c>
      <c r="K201" s="67" t="s">
        <v>55</v>
      </c>
      <c r="L201" s="173"/>
      <c r="M201" s="173"/>
    </row>
    <row r="202" spans="1:13" ht="25.5">
      <c r="A202" s="163"/>
      <c r="B202" s="166"/>
      <c r="C202" s="163"/>
      <c r="D202" s="99" t="s">
        <v>26</v>
      </c>
      <c r="E202" s="67">
        <v>0</v>
      </c>
      <c r="F202" s="67">
        <f t="shared" si="28"/>
        <v>0</v>
      </c>
      <c r="G202" s="67">
        <v>0</v>
      </c>
      <c r="H202" s="67" t="s">
        <v>55</v>
      </c>
      <c r="I202" s="67" t="s">
        <v>55</v>
      </c>
      <c r="J202" s="67" t="s">
        <v>55</v>
      </c>
      <c r="K202" s="67" t="s">
        <v>55</v>
      </c>
      <c r="L202" s="174"/>
      <c r="M202" s="174"/>
    </row>
    <row r="203" spans="1:13" ht="90.75" customHeight="1">
      <c r="A203" s="101" t="s">
        <v>112</v>
      </c>
      <c r="B203" s="115" t="s">
        <v>326</v>
      </c>
      <c r="C203" s="99" t="s">
        <v>3</v>
      </c>
      <c r="D203" s="67"/>
      <c r="E203" s="67" t="s">
        <v>84</v>
      </c>
      <c r="F203" s="67" t="s">
        <v>84</v>
      </c>
      <c r="G203" s="67" t="s">
        <v>84</v>
      </c>
      <c r="H203" s="67" t="s">
        <v>84</v>
      </c>
      <c r="I203" s="67" t="s">
        <v>84</v>
      </c>
      <c r="J203" s="67" t="s">
        <v>84</v>
      </c>
      <c r="K203" s="67" t="s">
        <v>84</v>
      </c>
      <c r="L203" s="135" t="s">
        <v>491</v>
      </c>
      <c r="M203" s="101" t="s">
        <v>331</v>
      </c>
    </row>
    <row r="204" spans="1:13" ht="180" customHeight="1">
      <c r="A204" s="101" t="s">
        <v>101</v>
      </c>
      <c r="B204" s="130" t="s">
        <v>379</v>
      </c>
      <c r="C204" s="99" t="s">
        <v>3</v>
      </c>
      <c r="D204" s="67"/>
      <c r="E204" s="67" t="s">
        <v>84</v>
      </c>
      <c r="F204" s="67" t="s">
        <v>84</v>
      </c>
      <c r="G204" s="67" t="s">
        <v>84</v>
      </c>
      <c r="H204" s="67" t="s">
        <v>84</v>
      </c>
      <c r="I204" s="67" t="s">
        <v>84</v>
      </c>
      <c r="J204" s="67" t="s">
        <v>84</v>
      </c>
      <c r="K204" s="67" t="s">
        <v>84</v>
      </c>
      <c r="L204" s="135" t="s">
        <v>491</v>
      </c>
      <c r="M204" s="56" t="s">
        <v>332</v>
      </c>
    </row>
    <row r="205" spans="1:13">
      <c r="A205" s="178"/>
      <c r="B205" s="164" t="s">
        <v>13</v>
      </c>
      <c r="C205" s="161" t="s">
        <v>3</v>
      </c>
      <c r="D205" s="97" t="s">
        <v>11</v>
      </c>
      <c r="E205" s="54">
        <f>SUM(E206:E210)</f>
        <v>164981.13999999998</v>
      </c>
      <c r="F205" s="54">
        <f>SUM(G205:K205)</f>
        <v>1235717.62152</v>
      </c>
      <c r="G205" s="54">
        <f>SUM(G206:G210)</f>
        <v>297811.55</v>
      </c>
      <c r="H205" s="54">
        <f>SUM(H206:H210)</f>
        <v>222942.56071000002</v>
      </c>
      <c r="I205" s="54">
        <f>SUM(I206:I210)</f>
        <v>236995.73081000001</v>
      </c>
      <c r="J205" s="54">
        <f>SUM(J206:J210)</f>
        <v>237041.39</v>
      </c>
      <c r="K205" s="54">
        <f>SUM(K206:K210)</f>
        <v>240926.39</v>
      </c>
      <c r="L205" s="165"/>
      <c r="M205" s="165"/>
    </row>
    <row r="206" spans="1:13" ht="25.5">
      <c r="A206" s="178"/>
      <c r="B206" s="164"/>
      <c r="C206" s="161"/>
      <c r="D206" s="99" t="s">
        <v>24</v>
      </c>
      <c r="E206" s="67">
        <f t="shared" ref="E206:G210" si="29">E11+E23+E35+E71+E83+E97+E109+E121+E172+E192</f>
        <v>0</v>
      </c>
      <c r="F206" s="67">
        <f t="shared" si="29"/>
        <v>350</v>
      </c>
      <c r="G206" s="67">
        <f t="shared" si="29"/>
        <v>0</v>
      </c>
      <c r="H206" s="67">
        <f t="shared" ref="H206:K210" si="30">H11+H23+H35+H71+H97+H109+H121</f>
        <v>300</v>
      </c>
      <c r="I206" s="67">
        <f t="shared" si="30"/>
        <v>50</v>
      </c>
      <c r="J206" s="67">
        <f t="shared" si="30"/>
        <v>0</v>
      </c>
      <c r="K206" s="67">
        <f t="shared" si="30"/>
        <v>0</v>
      </c>
      <c r="L206" s="165"/>
      <c r="M206" s="165"/>
    </row>
    <row r="207" spans="1:13" ht="25.5">
      <c r="A207" s="178"/>
      <c r="B207" s="164"/>
      <c r="C207" s="161"/>
      <c r="D207" s="99" t="s">
        <v>5</v>
      </c>
      <c r="E207" s="67">
        <f t="shared" si="29"/>
        <v>11064.21</v>
      </c>
      <c r="F207" s="67">
        <f t="shared" si="29"/>
        <v>94376.089460000003</v>
      </c>
      <c r="G207" s="67">
        <f t="shared" si="29"/>
        <v>84207.59</v>
      </c>
      <c r="H207" s="67">
        <f t="shared" si="30"/>
        <v>7385.99946</v>
      </c>
      <c r="I207" s="67">
        <f t="shared" si="30"/>
        <v>840</v>
      </c>
      <c r="J207" s="67">
        <f t="shared" si="30"/>
        <v>0</v>
      </c>
      <c r="K207" s="67">
        <f t="shared" si="30"/>
        <v>1942.5</v>
      </c>
      <c r="L207" s="165"/>
      <c r="M207" s="165"/>
    </row>
    <row r="208" spans="1:13" ht="38.25">
      <c r="A208" s="178"/>
      <c r="B208" s="164"/>
      <c r="C208" s="161"/>
      <c r="D208" s="99" t="s">
        <v>71</v>
      </c>
      <c r="E208" s="67">
        <f t="shared" si="29"/>
        <v>142224.35</v>
      </c>
      <c r="F208" s="67">
        <f t="shared" si="29"/>
        <v>954557.70996000001</v>
      </c>
      <c r="G208" s="67">
        <f t="shared" si="29"/>
        <v>176621.87</v>
      </c>
      <c r="H208" s="67">
        <f t="shared" si="30"/>
        <v>185068.56115000002</v>
      </c>
      <c r="I208" s="67">
        <f t="shared" si="30"/>
        <v>197678.97881</v>
      </c>
      <c r="J208" s="67">
        <f t="shared" si="30"/>
        <v>196622.90000000002</v>
      </c>
      <c r="K208" s="67">
        <f t="shared" si="30"/>
        <v>198565.40000000002</v>
      </c>
      <c r="L208" s="165"/>
      <c r="M208" s="165"/>
    </row>
    <row r="209" spans="1:13" ht="66" customHeight="1">
      <c r="A209" s="166"/>
      <c r="B209" s="163"/>
      <c r="C209" s="163"/>
      <c r="D209" s="99" t="s">
        <v>25</v>
      </c>
      <c r="E209" s="67">
        <f t="shared" si="29"/>
        <v>11692.58</v>
      </c>
      <c r="F209" s="67">
        <f t="shared" si="29"/>
        <v>186433.82209999999</v>
      </c>
      <c r="G209" s="67">
        <f t="shared" si="29"/>
        <v>36982.089999999997</v>
      </c>
      <c r="H209" s="67">
        <f t="shared" si="30"/>
        <v>30188.000100000001</v>
      </c>
      <c r="I209" s="67">
        <f t="shared" si="30"/>
        <v>38426.752</v>
      </c>
      <c r="J209" s="67">
        <f t="shared" si="30"/>
        <v>40418.49</v>
      </c>
      <c r="K209" s="67">
        <f t="shared" si="30"/>
        <v>40418.49</v>
      </c>
      <c r="L209" s="166"/>
      <c r="M209" s="166"/>
    </row>
    <row r="210" spans="1:13" ht="25.5">
      <c r="A210" s="166"/>
      <c r="B210" s="163"/>
      <c r="C210" s="163"/>
      <c r="D210" s="99" t="s">
        <v>26</v>
      </c>
      <c r="E210" s="67">
        <f t="shared" si="29"/>
        <v>0</v>
      </c>
      <c r="F210" s="67">
        <f t="shared" si="29"/>
        <v>0</v>
      </c>
      <c r="G210" s="67">
        <f t="shared" si="29"/>
        <v>0</v>
      </c>
      <c r="H210" s="67">
        <f t="shared" si="30"/>
        <v>0</v>
      </c>
      <c r="I210" s="67">
        <f t="shared" si="30"/>
        <v>0</v>
      </c>
      <c r="J210" s="67">
        <f t="shared" si="30"/>
        <v>0</v>
      </c>
      <c r="K210" s="67">
        <f t="shared" si="30"/>
        <v>0</v>
      </c>
      <c r="L210" s="166"/>
      <c r="M210" s="166"/>
    </row>
    <row r="212" spans="1:13">
      <c r="A212" s="116" t="s">
        <v>176</v>
      </c>
      <c r="G212" s="117"/>
    </row>
    <row r="213" spans="1:13">
      <c r="A213" s="116" t="s">
        <v>177</v>
      </c>
      <c r="G213" s="117"/>
    </row>
    <row r="215" spans="1:13">
      <c r="F215" s="117"/>
    </row>
  </sheetData>
  <mergeCells count="172">
    <mergeCell ref="L16:L21"/>
    <mergeCell ref="M70:M75"/>
    <mergeCell ref="M76:M81"/>
    <mergeCell ref="A1:M1"/>
    <mergeCell ref="A2:M2"/>
    <mergeCell ref="A4:M4"/>
    <mergeCell ref="A5:M5"/>
    <mergeCell ref="L7:L8"/>
    <mergeCell ref="M7:M8"/>
    <mergeCell ref="A7:A8"/>
    <mergeCell ref="B7:B8"/>
    <mergeCell ref="C7:C8"/>
    <mergeCell ref="D7:D8"/>
    <mergeCell ref="G7:K7"/>
    <mergeCell ref="E7:E8"/>
    <mergeCell ref="F7:F8"/>
    <mergeCell ref="A138:A143"/>
    <mergeCell ref="B138:B143"/>
    <mergeCell ref="C144:C149"/>
    <mergeCell ref="A150:A155"/>
    <mergeCell ref="B150:B155"/>
    <mergeCell ref="A22:A27"/>
    <mergeCell ref="B22:B27"/>
    <mergeCell ref="L132:L137"/>
    <mergeCell ref="M126:M131"/>
    <mergeCell ref="C138:C143"/>
    <mergeCell ref="A144:A149"/>
    <mergeCell ref="B144:B149"/>
    <mergeCell ref="C150:C155"/>
    <mergeCell ref="B132:B137"/>
    <mergeCell ref="C132:C137"/>
    <mergeCell ref="C10:C15"/>
    <mergeCell ref="A16:A21"/>
    <mergeCell ref="B16:B21"/>
    <mergeCell ref="C16:C21"/>
    <mergeCell ref="A102:A107"/>
    <mergeCell ref="A28:A33"/>
    <mergeCell ref="B28:B33"/>
    <mergeCell ref="C28:C33"/>
    <mergeCell ref="C70:C75"/>
    <mergeCell ref="B76:B81"/>
    <mergeCell ref="A10:A15"/>
    <mergeCell ref="B10:B15"/>
    <mergeCell ref="M205:M210"/>
    <mergeCell ref="A120:A125"/>
    <mergeCell ref="B120:B125"/>
    <mergeCell ref="C120:C125"/>
    <mergeCell ref="A126:A131"/>
    <mergeCell ref="M10:M15"/>
    <mergeCell ref="M16:M21"/>
    <mergeCell ref="M22:M27"/>
    <mergeCell ref="M28:M33"/>
    <mergeCell ref="L10:L15"/>
    <mergeCell ref="C22:C27"/>
    <mergeCell ref="A205:A210"/>
    <mergeCell ref="B205:B210"/>
    <mergeCell ref="C205:C210"/>
    <mergeCell ref="L205:L210"/>
    <mergeCell ref="C76:C81"/>
    <mergeCell ref="A70:A75"/>
    <mergeCell ref="L22:L27"/>
    <mergeCell ref="L28:L33"/>
    <mergeCell ref="L120:L125"/>
    <mergeCell ref="A132:A137"/>
    <mergeCell ref="M120:M125"/>
    <mergeCell ref="A82:A87"/>
    <mergeCell ref="B82:B87"/>
    <mergeCell ref="A34:A39"/>
    <mergeCell ref="C34:C39"/>
    <mergeCell ref="C82:C87"/>
    <mergeCell ref="A40:A45"/>
    <mergeCell ref="B40:B45"/>
    <mergeCell ref="C40:C45"/>
    <mergeCell ref="L40:L45"/>
    <mergeCell ref="C64:C69"/>
    <mergeCell ref="A46:A51"/>
    <mergeCell ref="B46:B51"/>
    <mergeCell ref="C46:C51"/>
    <mergeCell ref="L76:L81"/>
    <mergeCell ref="L82:L87"/>
    <mergeCell ref="L52:L57"/>
    <mergeCell ref="A52:A57"/>
    <mergeCell ref="A58:A63"/>
    <mergeCell ref="B58:B63"/>
    <mergeCell ref="C58:C63"/>
    <mergeCell ref="L58:L63"/>
    <mergeCell ref="B126:B131"/>
    <mergeCell ref="C126:C131"/>
    <mergeCell ref="A114:A119"/>
    <mergeCell ref="B114:B119"/>
    <mergeCell ref="C114:C119"/>
    <mergeCell ref="M197:M202"/>
    <mergeCell ref="L191:L196"/>
    <mergeCell ref="M191:M196"/>
    <mergeCell ref="C171:C176"/>
    <mergeCell ref="L197:L202"/>
    <mergeCell ref="L179:L184"/>
    <mergeCell ref="L171:L176"/>
    <mergeCell ref="A197:A202"/>
    <mergeCell ref="B197:B202"/>
    <mergeCell ref="C197:C202"/>
    <mergeCell ref="C191:C196"/>
    <mergeCell ref="A179:A184"/>
    <mergeCell ref="B179:B184"/>
    <mergeCell ref="C179:C184"/>
    <mergeCell ref="A171:A176"/>
    <mergeCell ref="B171:B176"/>
    <mergeCell ref="A191:A196"/>
    <mergeCell ref="B191:B196"/>
    <mergeCell ref="A185:A190"/>
    <mergeCell ref="M138:M149"/>
    <mergeCell ref="L150:L155"/>
    <mergeCell ref="M150:M155"/>
    <mergeCell ref="L126:L131"/>
    <mergeCell ref="L156:L161"/>
    <mergeCell ref="M156:M161"/>
    <mergeCell ref="M132:M137"/>
    <mergeCell ref="L138:L143"/>
    <mergeCell ref="L144:L149"/>
    <mergeCell ref="M171:M176"/>
    <mergeCell ref="M185:M190"/>
    <mergeCell ref="L185:L190"/>
    <mergeCell ref="M179:M184"/>
    <mergeCell ref="A156:A161"/>
    <mergeCell ref="B156:B161"/>
    <mergeCell ref="C156:C161"/>
    <mergeCell ref="L162:L167"/>
    <mergeCell ref="M162:M167"/>
    <mergeCell ref="B185:B190"/>
    <mergeCell ref="C185:C190"/>
    <mergeCell ref="A162:A167"/>
    <mergeCell ref="B162:B167"/>
    <mergeCell ref="C162:C167"/>
    <mergeCell ref="L34:L39"/>
    <mergeCell ref="M34:M39"/>
    <mergeCell ref="B34:B39"/>
    <mergeCell ref="B96:B101"/>
    <mergeCell ref="C96:C101"/>
    <mergeCell ref="L96:L101"/>
    <mergeCell ref="M96:M101"/>
    <mergeCell ref="M88:M93"/>
    <mergeCell ref="M52:M57"/>
    <mergeCell ref="L70:L75"/>
    <mergeCell ref="C88:C93"/>
    <mergeCell ref="L88:L93"/>
    <mergeCell ref="L46:L51"/>
    <mergeCell ref="M46:M51"/>
    <mergeCell ref="M58:M63"/>
    <mergeCell ref="M82:M87"/>
    <mergeCell ref="B52:B57"/>
    <mergeCell ref="C52:C57"/>
    <mergeCell ref="M40:M45"/>
    <mergeCell ref="M64:M69"/>
    <mergeCell ref="L114:L119"/>
    <mergeCell ref="M114:M119"/>
    <mergeCell ref="B102:B107"/>
    <mergeCell ref="C102:C107"/>
    <mergeCell ref="L102:L107"/>
    <mergeCell ref="B70:B75"/>
    <mergeCell ref="A88:A93"/>
    <mergeCell ref="B88:B93"/>
    <mergeCell ref="A64:A69"/>
    <mergeCell ref="B64:B69"/>
    <mergeCell ref="M102:M107"/>
    <mergeCell ref="A108:A113"/>
    <mergeCell ref="B108:B113"/>
    <mergeCell ref="C108:C113"/>
    <mergeCell ref="L108:L113"/>
    <mergeCell ref="M108:M113"/>
    <mergeCell ref="L64:L69"/>
    <mergeCell ref="A76:A81"/>
    <mergeCell ref="A96:A101"/>
  </mergeCells>
  <phoneticPr fontId="5" type="noConversion"/>
  <pageMargins left="0.39370078740157483" right="0.19685039370078741" top="0.19685039370078741" bottom="0.19685039370078741" header="0" footer="0"/>
  <pageSetup paperSize="9" scale="59" orientation="landscape" verticalDpi="0" r:id="rId1"/>
  <rowBreaks count="9" manualBreakCount="9">
    <brk id="27" max="16383" man="1"/>
    <brk id="51" max="12" man="1"/>
    <brk id="81" max="12" man="1"/>
    <brk id="101" max="12" man="1"/>
    <brk id="125" max="12" man="1"/>
    <brk id="137" max="12" man="1"/>
    <brk id="149" max="12" man="1"/>
    <brk id="167" max="12" man="1"/>
    <brk id="178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N82"/>
  <sheetViews>
    <sheetView view="pageBreakPreview" topLeftCell="A80" zoomScaleNormal="100" zoomScaleSheetLayoutView="100" workbookViewId="0">
      <selection activeCell="B27" sqref="B27"/>
    </sheetView>
  </sheetViews>
  <sheetFormatPr defaultColWidth="8.85546875" defaultRowHeight="15"/>
  <cols>
    <col min="1" max="1" width="8.85546875" style="110"/>
    <col min="2" max="2" width="47.140625" style="61" customWidth="1"/>
    <col min="3" max="3" width="15.42578125" style="103" customWidth="1"/>
    <col min="4" max="4" width="13" style="61" customWidth="1"/>
    <col min="5" max="5" width="15" style="61" customWidth="1"/>
    <col min="6" max="10" width="11.42578125" style="61" customWidth="1"/>
    <col min="11" max="11" width="16.140625" style="61" customWidth="1"/>
  </cols>
  <sheetData>
    <row r="1" spans="1:11" ht="15.75">
      <c r="A1" s="182" t="s">
        <v>250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</row>
    <row r="2" spans="1:11" ht="15.75">
      <c r="A2" s="182"/>
      <c r="B2" s="195"/>
      <c r="C2" s="195"/>
      <c r="D2" s="195"/>
      <c r="E2" s="195"/>
      <c r="F2" s="195"/>
      <c r="G2" s="195"/>
      <c r="H2" s="195"/>
      <c r="I2" s="195"/>
      <c r="J2" s="195"/>
      <c r="K2" s="195"/>
    </row>
    <row r="3" spans="1:11" ht="15.75">
      <c r="A3" s="196" t="s">
        <v>48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</row>
    <row r="4" spans="1:11" ht="23.1" customHeight="1">
      <c r="A4" s="197" t="s">
        <v>75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</row>
    <row r="5" spans="1:11" ht="15.75">
      <c r="A5" s="102"/>
    </row>
    <row r="6" spans="1:11" ht="50.25" customHeight="1">
      <c r="A6" s="199" t="s">
        <v>49</v>
      </c>
      <c r="B6" s="202" t="s">
        <v>50</v>
      </c>
      <c r="C6" s="200" t="s">
        <v>51</v>
      </c>
      <c r="D6" s="202" t="s">
        <v>52</v>
      </c>
      <c r="E6" s="202" t="s">
        <v>160</v>
      </c>
      <c r="F6" s="202" t="s">
        <v>53</v>
      </c>
      <c r="G6" s="202"/>
      <c r="H6" s="202"/>
      <c r="I6" s="202"/>
      <c r="J6" s="202"/>
      <c r="K6" s="202" t="s">
        <v>161</v>
      </c>
    </row>
    <row r="7" spans="1:11" ht="30.75" customHeight="1">
      <c r="A7" s="199"/>
      <c r="B7" s="202"/>
      <c r="C7" s="201"/>
      <c r="D7" s="202"/>
      <c r="E7" s="202"/>
      <c r="F7" s="104" t="s">
        <v>42</v>
      </c>
      <c r="G7" s="104" t="s">
        <v>43</v>
      </c>
      <c r="H7" s="104" t="s">
        <v>44</v>
      </c>
      <c r="I7" s="104" t="s">
        <v>45</v>
      </c>
      <c r="J7" s="104" t="s">
        <v>46</v>
      </c>
      <c r="K7" s="202"/>
    </row>
    <row r="8" spans="1:11">
      <c r="A8" s="105">
        <v>1</v>
      </c>
      <c r="B8" s="104">
        <v>2</v>
      </c>
      <c r="C8" s="98">
        <v>3</v>
      </c>
      <c r="D8" s="104">
        <v>4</v>
      </c>
      <c r="E8" s="104">
        <v>5</v>
      </c>
      <c r="F8" s="104">
        <v>6</v>
      </c>
      <c r="G8" s="104">
        <v>7</v>
      </c>
      <c r="H8" s="104">
        <v>8</v>
      </c>
      <c r="I8" s="104">
        <v>9</v>
      </c>
      <c r="J8" s="104">
        <v>10</v>
      </c>
      <c r="K8" s="104">
        <v>11</v>
      </c>
    </row>
    <row r="9" spans="1:11" ht="15" customHeight="1">
      <c r="A9" s="189" t="s">
        <v>162</v>
      </c>
      <c r="B9" s="190"/>
      <c r="C9" s="190"/>
      <c r="D9" s="190"/>
      <c r="E9" s="190"/>
      <c r="F9" s="190"/>
      <c r="G9" s="190"/>
      <c r="H9" s="190"/>
      <c r="I9" s="190"/>
      <c r="J9" s="190"/>
      <c r="K9" s="191"/>
    </row>
    <row r="10" spans="1:11">
      <c r="A10" s="53" t="s">
        <v>23</v>
      </c>
      <c r="B10" s="189" t="s">
        <v>206</v>
      </c>
      <c r="C10" s="190"/>
      <c r="D10" s="190"/>
      <c r="E10" s="190"/>
      <c r="F10" s="190"/>
      <c r="G10" s="190"/>
      <c r="H10" s="190"/>
      <c r="I10" s="190"/>
      <c r="J10" s="190"/>
      <c r="K10" s="191"/>
    </row>
    <row r="11" spans="1:11" ht="38.25">
      <c r="A11" s="53" t="s">
        <v>178</v>
      </c>
      <c r="B11" s="71" t="s">
        <v>102</v>
      </c>
      <c r="C11" s="98" t="s">
        <v>225</v>
      </c>
      <c r="D11" s="98" t="s">
        <v>56</v>
      </c>
      <c r="E11" s="98">
        <v>100</v>
      </c>
      <c r="F11" s="98">
        <v>100</v>
      </c>
      <c r="G11" s="98">
        <v>100</v>
      </c>
      <c r="H11" s="98">
        <v>100</v>
      </c>
      <c r="I11" s="98">
        <v>100</v>
      </c>
      <c r="J11" s="98">
        <v>100</v>
      </c>
      <c r="K11" s="98">
        <v>1</v>
      </c>
    </row>
    <row r="12" spans="1:11" ht="44.25" customHeight="1">
      <c r="A12" s="53" t="s">
        <v>289</v>
      </c>
      <c r="B12" s="71" t="s">
        <v>290</v>
      </c>
      <c r="C12" s="122" t="s">
        <v>253</v>
      </c>
      <c r="D12" s="122" t="s">
        <v>272</v>
      </c>
      <c r="E12" s="72" t="s">
        <v>528</v>
      </c>
      <c r="F12" s="72" t="s">
        <v>55</v>
      </c>
      <c r="G12" s="72" t="s">
        <v>55</v>
      </c>
      <c r="H12" s="72">
        <v>90</v>
      </c>
      <c r="I12" s="72">
        <v>90</v>
      </c>
      <c r="J12" s="72">
        <v>90</v>
      </c>
      <c r="K12" s="122">
        <v>1</v>
      </c>
    </row>
    <row r="13" spans="1:11">
      <c r="A13" s="53" t="s">
        <v>27</v>
      </c>
      <c r="B13" s="189" t="s">
        <v>251</v>
      </c>
      <c r="C13" s="190"/>
      <c r="D13" s="190"/>
      <c r="E13" s="190"/>
      <c r="F13" s="190"/>
      <c r="G13" s="190"/>
      <c r="H13" s="190"/>
      <c r="I13" s="190"/>
      <c r="J13" s="190"/>
      <c r="K13" s="191"/>
    </row>
    <row r="14" spans="1:11" ht="25.5">
      <c r="A14" s="53" t="s">
        <v>179</v>
      </c>
      <c r="B14" s="132" t="s">
        <v>448</v>
      </c>
      <c r="C14" s="125" t="s">
        <v>462</v>
      </c>
      <c r="D14" s="125" t="s">
        <v>463</v>
      </c>
      <c r="E14" s="72" t="s">
        <v>528</v>
      </c>
      <c r="F14" s="72" t="s">
        <v>55</v>
      </c>
      <c r="G14" s="72" t="s">
        <v>55</v>
      </c>
      <c r="H14" s="95">
        <v>0.18</v>
      </c>
      <c r="I14" s="95">
        <f>H14*110/100</f>
        <v>0.19800000000000001</v>
      </c>
      <c r="J14" s="95">
        <f>I14*110/100</f>
        <v>0.21780000000000002</v>
      </c>
      <c r="K14" s="125">
        <v>2</v>
      </c>
    </row>
    <row r="15" spans="1:11" ht="25.5">
      <c r="A15" s="53" t="s">
        <v>449</v>
      </c>
      <c r="B15" s="132" t="s">
        <v>450</v>
      </c>
      <c r="C15" s="125" t="s">
        <v>253</v>
      </c>
      <c r="D15" s="125" t="s">
        <v>244</v>
      </c>
      <c r="E15" s="72" t="s">
        <v>528</v>
      </c>
      <c r="F15" s="72" t="s">
        <v>55</v>
      </c>
      <c r="G15" s="72" t="s">
        <v>55</v>
      </c>
      <c r="H15" s="133">
        <f>H16+H17</f>
        <v>44.775960000000005</v>
      </c>
      <c r="I15" s="133">
        <f>I16+I17</f>
        <v>45.671479200000007</v>
      </c>
      <c r="J15" s="133">
        <f>J16+J17</f>
        <v>46.584908784000007</v>
      </c>
      <c r="K15" s="125">
        <v>2</v>
      </c>
    </row>
    <row r="16" spans="1:11" ht="25.5">
      <c r="A16" s="53" t="s">
        <v>451</v>
      </c>
      <c r="B16" s="132" t="s">
        <v>452</v>
      </c>
      <c r="C16" s="132"/>
      <c r="D16" s="125" t="s">
        <v>244</v>
      </c>
      <c r="E16" s="72" t="s">
        <v>528</v>
      </c>
      <c r="F16" s="72" t="s">
        <v>55</v>
      </c>
      <c r="G16" s="72" t="s">
        <v>55</v>
      </c>
      <c r="H16" s="95">
        <f>(15154+2707+6584+70+7921+810+1398+6295+2000+700)/1000*102/100</f>
        <v>44.511780000000002</v>
      </c>
      <c r="I16" s="95">
        <f>H16*102/100</f>
        <v>45.402015600000006</v>
      </c>
      <c r="J16" s="95">
        <f>I16*102/100</f>
        <v>46.31005591200001</v>
      </c>
      <c r="K16" s="125">
        <v>2</v>
      </c>
    </row>
    <row r="17" spans="1:11" ht="25.5">
      <c r="A17" s="53" t="s">
        <v>453</v>
      </c>
      <c r="B17" s="132" t="s">
        <v>454</v>
      </c>
      <c r="C17" s="132"/>
      <c r="D17" s="125" t="s">
        <v>244</v>
      </c>
      <c r="E17" s="72" t="s">
        <v>528</v>
      </c>
      <c r="F17" s="72" t="s">
        <v>55</v>
      </c>
      <c r="G17" s="72" t="s">
        <v>55</v>
      </c>
      <c r="H17" s="133">
        <f>(117+45+97)/1000*102/100</f>
        <v>0.26417999999999997</v>
      </c>
      <c r="I17" s="133">
        <f>H17*102/100</f>
        <v>0.26946359999999997</v>
      </c>
      <c r="J17" s="133">
        <f>I17*102/100</f>
        <v>0.27485287199999997</v>
      </c>
      <c r="K17" s="125">
        <v>2</v>
      </c>
    </row>
    <row r="18" spans="1:11" ht="25.5">
      <c r="A18" s="53" t="s">
        <v>455</v>
      </c>
      <c r="B18" s="132" t="s">
        <v>456</v>
      </c>
      <c r="C18" s="125" t="s">
        <v>253</v>
      </c>
      <c r="D18" s="125" t="s">
        <v>464</v>
      </c>
      <c r="E18" s="72" t="s">
        <v>528</v>
      </c>
      <c r="F18" s="72" t="s">
        <v>55</v>
      </c>
      <c r="G18" s="72" t="s">
        <v>55</v>
      </c>
      <c r="H18" s="73">
        <f>SUM(H19:H21)</f>
        <v>1131.05096</v>
      </c>
      <c r="I18" s="73">
        <f>SUM(I19:I21)</f>
        <v>1153.6719791999999</v>
      </c>
      <c r="J18" s="73">
        <f>SUM(J19:J21)</f>
        <v>1176.7454187839999</v>
      </c>
      <c r="K18" s="125">
        <v>2</v>
      </c>
    </row>
    <row r="19" spans="1:11" ht="28.5" customHeight="1">
      <c r="A19" s="53" t="s">
        <v>457</v>
      </c>
      <c r="B19" s="132" t="s">
        <v>460</v>
      </c>
      <c r="C19" s="132"/>
      <c r="D19" s="125" t="s">
        <v>464</v>
      </c>
      <c r="E19" s="72" t="s">
        <v>528</v>
      </c>
      <c r="F19" s="72" t="s">
        <v>55</v>
      </c>
      <c r="G19" s="72" t="s">
        <v>55</v>
      </c>
      <c r="H19" s="73">
        <f>(6834.5+369+52969+14440.5+3740+35834.5+2057+2611+3599.8+851+280+11605)/1000</f>
        <v>135.19129999999998</v>
      </c>
      <c r="I19" s="73">
        <f t="shared" ref="I19:J21" si="0">H19*102/100</f>
        <v>137.89512599999998</v>
      </c>
      <c r="J19" s="73">
        <f t="shared" si="0"/>
        <v>140.65302851999996</v>
      </c>
      <c r="K19" s="125">
        <v>2</v>
      </c>
    </row>
    <row r="20" spans="1:11" ht="25.5">
      <c r="A20" s="53" t="s">
        <v>458</v>
      </c>
      <c r="B20" s="132" t="s">
        <v>461</v>
      </c>
      <c r="C20" s="132"/>
      <c r="D20" s="125" t="s">
        <v>464</v>
      </c>
      <c r="E20" s="72" t="s">
        <v>528</v>
      </c>
      <c r="F20" s="72" t="s">
        <v>55</v>
      </c>
      <c r="G20" s="72" t="s">
        <v>55</v>
      </c>
      <c r="H20" s="73">
        <f>(15500+3460.9+10040.3+46564.9+21408+48834)/1000*102/100</f>
        <v>148.72426200000001</v>
      </c>
      <c r="I20" s="73">
        <f t="shared" si="0"/>
        <v>151.69874724000002</v>
      </c>
      <c r="J20" s="73">
        <f t="shared" si="0"/>
        <v>154.73272218480002</v>
      </c>
      <c r="K20" s="125">
        <v>2</v>
      </c>
    </row>
    <row r="21" spans="1:11" ht="25.5">
      <c r="A21" s="53" t="s">
        <v>459</v>
      </c>
      <c r="B21" s="132" t="s">
        <v>465</v>
      </c>
      <c r="C21" s="132"/>
      <c r="D21" s="125" t="s">
        <v>464</v>
      </c>
      <c r="E21" s="72" t="s">
        <v>528</v>
      </c>
      <c r="F21" s="72" t="s">
        <v>55</v>
      </c>
      <c r="G21" s="72" t="s">
        <v>55</v>
      </c>
      <c r="H21" s="73">
        <f>(221898.3+41580+63410+3139+53312.9+230146+217038.7)/1000*102/100</f>
        <v>847.1353979999999</v>
      </c>
      <c r="I21" s="73">
        <f t="shared" si="0"/>
        <v>864.0781059599999</v>
      </c>
      <c r="J21" s="73">
        <f t="shared" si="0"/>
        <v>881.35966807919988</v>
      </c>
      <c r="K21" s="125">
        <v>2</v>
      </c>
    </row>
    <row r="22" spans="1:11" ht="15.75" customHeight="1">
      <c r="A22" s="53" t="s">
        <v>8</v>
      </c>
      <c r="B22" s="189" t="s">
        <v>266</v>
      </c>
      <c r="C22" s="190"/>
      <c r="D22" s="190"/>
      <c r="E22" s="190"/>
      <c r="F22" s="190"/>
      <c r="G22" s="190"/>
      <c r="H22" s="190"/>
      <c r="I22" s="190"/>
      <c r="J22" s="190"/>
      <c r="K22" s="191"/>
    </row>
    <row r="23" spans="1:11" ht="28.5" customHeight="1">
      <c r="A23" s="53" t="s">
        <v>180</v>
      </c>
      <c r="B23" s="71" t="s">
        <v>271</v>
      </c>
      <c r="C23" s="89" t="s">
        <v>253</v>
      </c>
      <c r="D23" s="72" t="s">
        <v>272</v>
      </c>
      <c r="E23" s="72" t="s">
        <v>528</v>
      </c>
      <c r="F23" s="72" t="s">
        <v>55</v>
      </c>
      <c r="G23" s="72" t="s">
        <v>55</v>
      </c>
      <c r="H23" s="72">
        <v>119</v>
      </c>
      <c r="I23" s="72">
        <v>121</v>
      </c>
      <c r="J23" s="72">
        <v>123</v>
      </c>
      <c r="K23" s="72">
        <v>3</v>
      </c>
    </row>
    <row r="24" spans="1:11" ht="39.75" customHeight="1">
      <c r="A24" s="53" t="s">
        <v>181</v>
      </c>
      <c r="B24" s="71" t="s">
        <v>484</v>
      </c>
      <c r="C24" s="89" t="s">
        <v>253</v>
      </c>
      <c r="D24" s="72" t="s">
        <v>272</v>
      </c>
      <c r="E24" s="74" t="s">
        <v>274</v>
      </c>
      <c r="F24" s="74" t="s">
        <v>55</v>
      </c>
      <c r="G24" s="73">
        <f>3/29*100</f>
        <v>10.344827586206897</v>
      </c>
      <c r="H24" s="73">
        <f>10/29*100</f>
        <v>34.482758620689658</v>
      </c>
      <c r="I24" s="73">
        <f>17/29*100</f>
        <v>58.620689655172406</v>
      </c>
      <c r="J24" s="73">
        <f>29/29*100</f>
        <v>100</v>
      </c>
      <c r="K24" s="72">
        <v>3</v>
      </c>
    </row>
    <row r="25" spans="1:11" ht="66" customHeight="1">
      <c r="A25" s="53" t="s">
        <v>257</v>
      </c>
      <c r="B25" s="71" t="s">
        <v>269</v>
      </c>
      <c r="C25" s="89" t="s">
        <v>292</v>
      </c>
      <c r="D25" s="72" t="s">
        <v>272</v>
      </c>
      <c r="E25" s="74" t="s">
        <v>84</v>
      </c>
      <c r="F25" s="73" t="s">
        <v>55</v>
      </c>
      <c r="G25" s="72">
        <v>115</v>
      </c>
      <c r="H25" s="73" t="s">
        <v>55</v>
      </c>
      <c r="I25" s="73" t="s">
        <v>55</v>
      </c>
      <c r="J25" s="73" t="s">
        <v>55</v>
      </c>
      <c r="K25" s="122">
        <v>3</v>
      </c>
    </row>
    <row r="26" spans="1:11" ht="65.25" customHeight="1">
      <c r="A26" s="53" t="s">
        <v>258</v>
      </c>
      <c r="B26" s="71" t="s">
        <v>270</v>
      </c>
      <c r="C26" s="89" t="s">
        <v>292</v>
      </c>
      <c r="D26" s="72" t="s">
        <v>272</v>
      </c>
      <c r="E26" s="74" t="s">
        <v>84</v>
      </c>
      <c r="F26" s="73" t="s">
        <v>55</v>
      </c>
      <c r="G26" s="72">
        <v>115</v>
      </c>
      <c r="H26" s="73" t="s">
        <v>55</v>
      </c>
      <c r="I26" s="73" t="s">
        <v>55</v>
      </c>
      <c r="J26" s="73" t="s">
        <v>55</v>
      </c>
      <c r="K26" s="122">
        <v>3</v>
      </c>
    </row>
    <row r="27" spans="1:11" ht="49.5" customHeight="1">
      <c r="A27" s="53" t="s">
        <v>526</v>
      </c>
      <c r="B27" s="71" t="s">
        <v>542</v>
      </c>
      <c r="C27" s="89" t="s">
        <v>292</v>
      </c>
      <c r="D27" s="72" t="s">
        <v>272</v>
      </c>
      <c r="E27" s="74" t="s">
        <v>274</v>
      </c>
      <c r="F27" s="73" t="s">
        <v>55</v>
      </c>
      <c r="G27" s="73" t="s">
        <v>55</v>
      </c>
      <c r="H27" s="72">
        <v>116</v>
      </c>
      <c r="I27" s="73" t="s">
        <v>55</v>
      </c>
      <c r="J27" s="73" t="s">
        <v>55</v>
      </c>
      <c r="K27" s="148">
        <v>3</v>
      </c>
    </row>
    <row r="28" spans="1:11">
      <c r="A28" s="53" t="s">
        <v>28</v>
      </c>
      <c r="B28" s="189" t="s">
        <v>276</v>
      </c>
      <c r="C28" s="190"/>
      <c r="D28" s="190"/>
      <c r="E28" s="190"/>
      <c r="F28" s="190"/>
      <c r="G28" s="190"/>
      <c r="H28" s="190"/>
      <c r="I28" s="190"/>
      <c r="J28" s="190"/>
      <c r="K28" s="191"/>
    </row>
    <row r="29" spans="1:11" ht="30.75" customHeight="1">
      <c r="A29" s="53" t="s">
        <v>182</v>
      </c>
      <c r="B29" s="71" t="s">
        <v>267</v>
      </c>
      <c r="C29" s="122" t="s">
        <v>253</v>
      </c>
      <c r="D29" s="72" t="s">
        <v>268</v>
      </c>
      <c r="E29" s="72" t="s">
        <v>528</v>
      </c>
      <c r="F29" s="72" t="s">
        <v>55</v>
      </c>
      <c r="G29" s="72" t="s">
        <v>55</v>
      </c>
      <c r="H29" s="72">
        <v>282281</v>
      </c>
      <c r="I29" s="72">
        <f>ROUND(H29*102/100,0)</f>
        <v>287927</v>
      </c>
      <c r="J29" s="72">
        <f>ROUND(I29*101/100,0)</f>
        <v>290806</v>
      </c>
      <c r="K29" s="72">
        <v>4</v>
      </c>
    </row>
    <row r="30" spans="1:11">
      <c r="A30" s="53" t="s">
        <v>10</v>
      </c>
      <c r="B30" s="189" t="s">
        <v>277</v>
      </c>
      <c r="C30" s="190"/>
      <c r="D30" s="190"/>
      <c r="E30" s="190"/>
      <c r="F30" s="190"/>
      <c r="G30" s="190"/>
      <c r="H30" s="190"/>
      <c r="I30" s="190"/>
      <c r="J30" s="190"/>
      <c r="K30" s="191"/>
    </row>
    <row r="31" spans="1:11" ht="66.75" customHeight="1">
      <c r="A31" s="53" t="s">
        <v>183</v>
      </c>
      <c r="B31" s="71" t="s">
        <v>188</v>
      </c>
      <c r="C31" s="122" t="s">
        <v>225</v>
      </c>
      <c r="D31" s="72" t="s">
        <v>107</v>
      </c>
      <c r="E31" s="72">
        <v>0</v>
      </c>
      <c r="F31" s="72">
        <v>1</v>
      </c>
      <c r="G31" s="72">
        <v>1</v>
      </c>
      <c r="H31" s="72">
        <v>1</v>
      </c>
      <c r="I31" s="72">
        <v>1</v>
      </c>
      <c r="J31" s="122">
        <v>1</v>
      </c>
      <c r="K31" s="72">
        <v>5</v>
      </c>
    </row>
    <row r="32" spans="1:11" ht="38.25">
      <c r="A32" s="53" t="s">
        <v>184</v>
      </c>
      <c r="B32" s="71" t="s">
        <v>104</v>
      </c>
      <c r="C32" s="122" t="s">
        <v>225</v>
      </c>
      <c r="D32" s="72" t="s">
        <v>107</v>
      </c>
      <c r="E32" s="72">
        <v>0</v>
      </c>
      <c r="F32" s="72">
        <v>3</v>
      </c>
      <c r="G32" s="72" t="s">
        <v>108</v>
      </c>
      <c r="H32" s="72" t="s">
        <v>108</v>
      </c>
      <c r="I32" s="72" t="s">
        <v>108</v>
      </c>
      <c r="J32" s="122" t="s">
        <v>108</v>
      </c>
      <c r="K32" s="72">
        <v>5</v>
      </c>
    </row>
    <row r="33" spans="1:13" ht="38.25">
      <c r="A33" s="53" t="s">
        <v>222</v>
      </c>
      <c r="B33" s="71" t="s">
        <v>105</v>
      </c>
      <c r="C33" s="122" t="s">
        <v>225</v>
      </c>
      <c r="D33" s="72" t="s">
        <v>107</v>
      </c>
      <c r="E33" s="72">
        <v>0</v>
      </c>
      <c r="F33" s="72" t="s">
        <v>109</v>
      </c>
      <c r="G33" s="72" t="s">
        <v>108</v>
      </c>
      <c r="H33" s="72" t="s">
        <v>108</v>
      </c>
      <c r="I33" s="72" t="s">
        <v>108</v>
      </c>
      <c r="J33" s="122" t="s">
        <v>108</v>
      </c>
      <c r="K33" s="72">
        <v>5</v>
      </c>
    </row>
    <row r="34" spans="1:13" ht="38.25">
      <c r="A34" s="53" t="s">
        <v>223</v>
      </c>
      <c r="B34" s="71" t="s">
        <v>106</v>
      </c>
      <c r="C34" s="122" t="s">
        <v>225</v>
      </c>
      <c r="D34" s="72" t="s">
        <v>107</v>
      </c>
      <c r="E34" s="72">
        <v>0</v>
      </c>
      <c r="F34" s="72">
        <v>3</v>
      </c>
      <c r="G34" s="72">
        <v>3</v>
      </c>
      <c r="H34" s="72">
        <v>3</v>
      </c>
      <c r="I34" s="72">
        <v>3</v>
      </c>
      <c r="J34" s="122">
        <v>3</v>
      </c>
      <c r="K34" s="72">
        <v>5</v>
      </c>
    </row>
    <row r="35" spans="1:13">
      <c r="A35" s="53" t="s">
        <v>29</v>
      </c>
      <c r="B35" s="189" t="s">
        <v>285</v>
      </c>
      <c r="C35" s="190"/>
      <c r="D35" s="190"/>
      <c r="E35" s="190"/>
      <c r="F35" s="190"/>
      <c r="G35" s="190"/>
      <c r="H35" s="190"/>
      <c r="I35" s="190"/>
      <c r="J35" s="190"/>
      <c r="K35" s="191"/>
    </row>
    <row r="36" spans="1:13" ht="51">
      <c r="A36" s="53" t="s">
        <v>185</v>
      </c>
      <c r="B36" s="71" t="s">
        <v>279</v>
      </c>
      <c r="C36" s="122" t="s">
        <v>280</v>
      </c>
      <c r="D36" s="72" t="s">
        <v>193</v>
      </c>
      <c r="E36" s="72" t="s">
        <v>528</v>
      </c>
      <c r="F36" s="72" t="s">
        <v>55</v>
      </c>
      <c r="G36" s="72" t="s">
        <v>55</v>
      </c>
      <c r="H36" s="72">
        <v>0</v>
      </c>
      <c r="I36" s="72">
        <v>0</v>
      </c>
      <c r="J36" s="72">
        <v>1</v>
      </c>
      <c r="K36" s="72">
        <v>6</v>
      </c>
    </row>
    <row r="37" spans="1:13" ht="52.5" customHeight="1">
      <c r="A37" s="53" t="s">
        <v>220</v>
      </c>
      <c r="B37" s="71" t="s">
        <v>281</v>
      </c>
      <c r="C37" s="122" t="s">
        <v>282</v>
      </c>
      <c r="D37" s="72" t="s">
        <v>272</v>
      </c>
      <c r="E37" s="72" t="s">
        <v>528</v>
      </c>
      <c r="F37" s="72" t="s">
        <v>55</v>
      </c>
      <c r="G37" s="72" t="s">
        <v>55</v>
      </c>
      <c r="H37" s="72">
        <f>H29/237270*100</f>
        <v>118.9703713069499</v>
      </c>
      <c r="I37" s="72">
        <f>I29/237270*100</f>
        <v>121.34993888818646</v>
      </c>
      <c r="J37" s="72">
        <f>J29/237270*100</f>
        <v>122.5633244826569</v>
      </c>
      <c r="K37" s="72">
        <v>6</v>
      </c>
    </row>
    <row r="38" spans="1:13">
      <c r="A38" s="53" t="s">
        <v>12</v>
      </c>
      <c r="B38" s="189" t="s">
        <v>291</v>
      </c>
      <c r="C38" s="190"/>
      <c r="D38" s="190"/>
      <c r="E38" s="190"/>
      <c r="F38" s="190"/>
      <c r="G38" s="190"/>
      <c r="H38" s="190"/>
      <c r="I38" s="190"/>
      <c r="J38" s="190"/>
      <c r="K38" s="191"/>
    </row>
    <row r="39" spans="1:13" ht="43.5" customHeight="1">
      <c r="A39" s="53" t="s">
        <v>186</v>
      </c>
      <c r="B39" s="71" t="s">
        <v>286</v>
      </c>
      <c r="C39" s="89" t="s">
        <v>282</v>
      </c>
      <c r="D39" s="72" t="s">
        <v>272</v>
      </c>
      <c r="E39" s="72" t="s">
        <v>210</v>
      </c>
      <c r="F39" s="72" t="s">
        <v>108</v>
      </c>
      <c r="G39" s="72" t="s">
        <v>108</v>
      </c>
      <c r="H39" s="122">
        <v>102</v>
      </c>
      <c r="I39" s="122">
        <v>104</v>
      </c>
      <c r="J39" s="122">
        <v>106</v>
      </c>
      <c r="K39" s="72">
        <v>7</v>
      </c>
    </row>
    <row r="40" spans="1:13" ht="38.25">
      <c r="A40" s="53" t="s">
        <v>31</v>
      </c>
      <c r="B40" s="71" t="s">
        <v>287</v>
      </c>
      <c r="C40" s="122" t="s">
        <v>288</v>
      </c>
      <c r="D40" s="72" t="s">
        <v>272</v>
      </c>
      <c r="E40" s="73">
        <v>1050</v>
      </c>
      <c r="F40" s="73">
        <v>1050</v>
      </c>
      <c r="G40" s="73">
        <f>(12+4)/2*100-100</f>
        <v>700</v>
      </c>
      <c r="H40" s="73">
        <f>G40</f>
        <v>700</v>
      </c>
      <c r="I40" s="73">
        <f>G40</f>
        <v>700</v>
      </c>
      <c r="J40" s="73">
        <f>I40</f>
        <v>700</v>
      </c>
      <c r="K40" s="72">
        <v>7</v>
      </c>
    </row>
    <row r="41" spans="1:13">
      <c r="A41" s="53" t="s">
        <v>32</v>
      </c>
      <c r="B41" s="189" t="s">
        <v>298</v>
      </c>
      <c r="C41" s="190"/>
      <c r="D41" s="190"/>
      <c r="E41" s="190"/>
      <c r="F41" s="190"/>
      <c r="G41" s="190"/>
      <c r="H41" s="190"/>
      <c r="I41" s="190"/>
      <c r="J41" s="190"/>
      <c r="K41" s="191"/>
    </row>
    <row r="42" spans="1:13" ht="38.25">
      <c r="A42" s="53" t="s">
        <v>85</v>
      </c>
      <c r="B42" s="106" t="s">
        <v>299</v>
      </c>
      <c r="C42" s="89" t="s">
        <v>282</v>
      </c>
      <c r="D42" s="72" t="s">
        <v>272</v>
      </c>
      <c r="E42" s="72" t="s">
        <v>528</v>
      </c>
      <c r="F42" s="72" t="s">
        <v>55</v>
      </c>
      <c r="G42" s="72" t="s">
        <v>55</v>
      </c>
      <c r="H42" s="72">
        <v>104</v>
      </c>
      <c r="I42" s="72">
        <v>108</v>
      </c>
      <c r="J42" s="72">
        <v>112</v>
      </c>
      <c r="K42" s="72">
        <v>8</v>
      </c>
    </row>
    <row r="43" spans="1:13" ht="39" customHeight="1">
      <c r="A43" s="53" t="s">
        <v>192</v>
      </c>
      <c r="B43" s="106" t="s">
        <v>300</v>
      </c>
      <c r="C43" s="89" t="s">
        <v>282</v>
      </c>
      <c r="D43" s="72" t="s">
        <v>272</v>
      </c>
      <c r="E43" s="72" t="s">
        <v>528</v>
      </c>
      <c r="F43" s="72" t="s">
        <v>55</v>
      </c>
      <c r="G43" s="72" t="s">
        <v>55</v>
      </c>
      <c r="H43" s="72">
        <v>101</v>
      </c>
      <c r="I43" s="72">
        <v>102</v>
      </c>
      <c r="J43" s="72">
        <v>103</v>
      </c>
      <c r="K43" s="72">
        <v>8</v>
      </c>
    </row>
    <row r="44" spans="1:13" ht="40.5" customHeight="1">
      <c r="A44" s="53" t="s">
        <v>301</v>
      </c>
      <c r="B44" s="75" t="s">
        <v>209</v>
      </c>
      <c r="C44" s="122" t="s">
        <v>253</v>
      </c>
      <c r="D44" s="76" t="s">
        <v>272</v>
      </c>
      <c r="E44" s="74" t="s">
        <v>210</v>
      </c>
      <c r="F44" s="74" t="s">
        <v>55</v>
      </c>
      <c r="G44" s="77">
        <v>7.69</v>
      </c>
      <c r="H44" s="77">
        <v>30.77</v>
      </c>
      <c r="I44" s="77">
        <v>53.85</v>
      </c>
      <c r="J44" s="77">
        <v>61.54</v>
      </c>
      <c r="K44" s="72">
        <v>8</v>
      </c>
    </row>
    <row r="45" spans="1:13">
      <c r="A45" s="53" t="s">
        <v>87</v>
      </c>
      <c r="B45" s="189" t="s">
        <v>514</v>
      </c>
      <c r="C45" s="192"/>
      <c r="D45" s="192"/>
      <c r="E45" s="192"/>
      <c r="F45" s="192"/>
      <c r="G45" s="192"/>
      <c r="H45" s="192"/>
      <c r="I45" s="192"/>
      <c r="J45" s="192"/>
      <c r="K45" s="193"/>
    </row>
    <row r="46" spans="1:13" ht="38.25">
      <c r="A46" s="53" t="s">
        <v>88</v>
      </c>
      <c r="B46" s="71" t="s">
        <v>221</v>
      </c>
      <c r="C46" s="122" t="s">
        <v>309</v>
      </c>
      <c r="D46" s="72" t="s">
        <v>54</v>
      </c>
      <c r="E46" s="72" t="s">
        <v>528</v>
      </c>
      <c r="F46" s="72" t="s">
        <v>108</v>
      </c>
      <c r="G46" s="72" t="s">
        <v>108</v>
      </c>
      <c r="H46" s="122">
        <v>9.5</v>
      </c>
      <c r="I46" s="73">
        <v>9.6</v>
      </c>
      <c r="J46" s="73">
        <v>9.6999999999999993</v>
      </c>
      <c r="K46" s="72">
        <v>9</v>
      </c>
    </row>
    <row r="47" spans="1:13" ht="92.25" customHeight="1">
      <c r="A47" s="53" t="s">
        <v>89</v>
      </c>
      <c r="B47" s="71" t="s">
        <v>310</v>
      </c>
      <c r="C47" s="122" t="s">
        <v>282</v>
      </c>
      <c r="D47" s="72" t="s">
        <v>193</v>
      </c>
      <c r="E47" s="72" t="s">
        <v>528</v>
      </c>
      <c r="F47" s="72" t="s">
        <v>108</v>
      </c>
      <c r="G47" s="72" t="s">
        <v>108</v>
      </c>
      <c r="H47" s="122">
        <v>0</v>
      </c>
      <c r="I47" s="72">
        <v>0</v>
      </c>
      <c r="J47" s="72">
        <v>1</v>
      </c>
      <c r="K47" s="72">
        <v>9</v>
      </c>
      <c r="M47" t="s">
        <v>249</v>
      </c>
    </row>
    <row r="48" spans="1:13" ht="57" customHeight="1">
      <c r="A48" s="53" t="s">
        <v>90</v>
      </c>
      <c r="B48" s="71" t="s">
        <v>506</v>
      </c>
      <c r="C48" s="138" t="s">
        <v>507</v>
      </c>
      <c r="D48" s="72" t="s">
        <v>193</v>
      </c>
      <c r="E48" s="72" t="s">
        <v>528</v>
      </c>
      <c r="F48" s="72" t="s">
        <v>108</v>
      </c>
      <c r="G48" s="72" t="s">
        <v>108</v>
      </c>
      <c r="H48" s="138">
        <v>0</v>
      </c>
      <c r="I48" s="72">
        <v>0</v>
      </c>
      <c r="J48" s="72">
        <v>0</v>
      </c>
      <c r="K48" s="72">
        <v>9</v>
      </c>
    </row>
    <row r="49" spans="1:14">
      <c r="A49" s="53" t="s">
        <v>91</v>
      </c>
      <c r="B49" s="189" t="s">
        <v>313</v>
      </c>
      <c r="C49" s="190"/>
      <c r="D49" s="190"/>
      <c r="E49" s="190"/>
      <c r="F49" s="190"/>
      <c r="G49" s="190"/>
      <c r="H49" s="190"/>
      <c r="I49" s="190"/>
      <c r="J49" s="190"/>
      <c r="K49" s="191"/>
    </row>
    <row r="50" spans="1:14" ht="44.25" customHeight="1">
      <c r="A50" s="53" t="s">
        <v>92</v>
      </c>
      <c r="B50" s="71" t="s">
        <v>516</v>
      </c>
      <c r="C50" s="122" t="s">
        <v>282</v>
      </c>
      <c r="D50" s="72" t="s">
        <v>272</v>
      </c>
      <c r="E50" s="72" t="s">
        <v>528</v>
      </c>
      <c r="F50" s="72" t="s">
        <v>108</v>
      </c>
      <c r="G50" s="72" t="s">
        <v>108</v>
      </c>
      <c r="H50" s="72">
        <v>101</v>
      </c>
      <c r="I50" s="72">
        <v>103</v>
      </c>
      <c r="J50" s="72">
        <v>105</v>
      </c>
      <c r="K50" s="72">
        <v>10</v>
      </c>
      <c r="N50" s="61"/>
    </row>
    <row r="51" spans="1:14">
      <c r="A51" s="53" t="s">
        <v>345</v>
      </c>
      <c r="B51" s="71" t="s">
        <v>234</v>
      </c>
      <c r="C51" s="122"/>
      <c r="D51" s="72" t="s">
        <v>54</v>
      </c>
      <c r="E51" s="72" t="s">
        <v>528</v>
      </c>
      <c r="F51" s="72" t="s">
        <v>108</v>
      </c>
      <c r="G51" s="72" t="s">
        <v>108</v>
      </c>
      <c r="H51" s="122">
        <v>102</v>
      </c>
      <c r="I51" s="122">
        <v>104</v>
      </c>
      <c r="J51" s="122">
        <v>106</v>
      </c>
      <c r="K51" s="72">
        <v>10</v>
      </c>
      <c r="N51" s="61"/>
    </row>
    <row r="52" spans="1:14">
      <c r="A52" s="53" t="s">
        <v>346</v>
      </c>
      <c r="B52" s="71" t="s">
        <v>235</v>
      </c>
      <c r="C52" s="122"/>
      <c r="D52" s="72" t="s">
        <v>244</v>
      </c>
      <c r="E52" s="72" t="s">
        <v>528</v>
      </c>
      <c r="F52" s="72" t="s">
        <v>108</v>
      </c>
      <c r="G52" s="72" t="s">
        <v>108</v>
      </c>
      <c r="H52" s="94">
        <f>(5643+800+1500+100)/1000*H51/100</f>
        <v>8.2038599999999988</v>
      </c>
      <c r="I52" s="94">
        <f>(5643+800+1500+100)/1000*I51/100</f>
        <v>8.3647200000000002</v>
      </c>
      <c r="J52" s="94">
        <f>(5643+800+1500+100)/1000*J51/100</f>
        <v>8.5255799999999979</v>
      </c>
      <c r="K52" s="72">
        <v>10</v>
      </c>
      <c r="N52" s="61"/>
    </row>
    <row r="53" spans="1:14" ht="25.5">
      <c r="A53" s="53" t="s">
        <v>347</v>
      </c>
      <c r="B53" s="71" t="s">
        <v>236</v>
      </c>
      <c r="C53" s="122"/>
      <c r="D53" s="72" t="s">
        <v>54</v>
      </c>
      <c r="E53" s="72" t="s">
        <v>528</v>
      </c>
      <c r="F53" s="72" t="s">
        <v>108</v>
      </c>
      <c r="G53" s="72" t="s">
        <v>108</v>
      </c>
      <c r="H53" s="72">
        <f>H37</f>
        <v>118.9703713069499</v>
      </c>
      <c r="I53" s="72">
        <f>I37</f>
        <v>121.34993888818646</v>
      </c>
      <c r="J53" s="72">
        <f>J37</f>
        <v>122.5633244826569</v>
      </c>
      <c r="K53" s="72">
        <v>10</v>
      </c>
      <c r="N53" s="61"/>
    </row>
    <row r="54" spans="1:14" ht="25.5">
      <c r="A54" s="53" t="s">
        <v>348</v>
      </c>
      <c r="B54" s="71" t="s">
        <v>237</v>
      </c>
      <c r="C54" s="122"/>
      <c r="D54" s="72" t="s">
        <v>244</v>
      </c>
      <c r="E54" s="72" t="s">
        <v>528</v>
      </c>
      <c r="F54" s="72" t="s">
        <v>108</v>
      </c>
      <c r="G54" s="72" t="s">
        <v>108</v>
      </c>
      <c r="H54" s="94">
        <f>H29/1000</f>
        <v>282.28100000000001</v>
      </c>
      <c r="I54" s="94">
        <f>I29/1000</f>
        <v>287.92700000000002</v>
      </c>
      <c r="J54" s="94">
        <f>J29/1000</f>
        <v>290.80599999999998</v>
      </c>
      <c r="K54" s="72">
        <v>10</v>
      </c>
      <c r="N54" s="61"/>
    </row>
    <row r="55" spans="1:14" ht="25.5">
      <c r="A55" s="53" t="s">
        <v>349</v>
      </c>
      <c r="B55" s="71" t="s">
        <v>238</v>
      </c>
      <c r="C55" s="122"/>
      <c r="D55" s="72" t="s">
        <v>54</v>
      </c>
      <c r="E55" s="72" t="s">
        <v>528</v>
      </c>
      <c r="F55" s="72" t="s">
        <v>108</v>
      </c>
      <c r="G55" s="72" t="s">
        <v>108</v>
      </c>
      <c r="H55" s="72">
        <f>H42</f>
        <v>104</v>
      </c>
      <c r="I55" s="72">
        <f>I42</f>
        <v>108</v>
      </c>
      <c r="J55" s="72">
        <f>J42</f>
        <v>112</v>
      </c>
      <c r="K55" s="72">
        <v>10</v>
      </c>
      <c r="N55" s="61"/>
    </row>
    <row r="56" spans="1:14" ht="25.5">
      <c r="A56" s="53" t="s">
        <v>350</v>
      </c>
      <c r="B56" s="71" t="s">
        <v>239</v>
      </c>
      <c r="C56" s="122"/>
      <c r="D56" s="72" t="s">
        <v>244</v>
      </c>
      <c r="E56" s="72" t="s">
        <v>528</v>
      </c>
      <c r="F56" s="72" t="s">
        <v>108</v>
      </c>
      <c r="G56" s="72" t="s">
        <v>108</v>
      </c>
      <c r="H56" s="73">
        <f>(350+11100+3150)/1000*H55/100</f>
        <v>15.183999999999999</v>
      </c>
      <c r="I56" s="73">
        <f>(350+11100+3150)/1000*I55/100</f>
        <v>15.767999999999999</v>
      </c>
      <c r="J56" s="73">
        <f>(350+11100+3150)/1000*J55/100</f>
        <v>16.352</v>
      </c>
      <c r="K56" s="72">
        <v>10</v>
      </c>
      <c r="N56" s="61"/>
    </row>
    <row r="57" spans="1:14">
      <c r="A57" s="53" t="s">
        <v>351</v>
      </c>
      <c r="B57" s="71" t="s">
        <v>240</v>
      </c>
      <c r="C57" s="122"/>
      <c r="D57" s="72" t="s">
        <v>54</v>
      </c>
      <c r="E57" s="72" t="s">
        <v>528</v>
      </c>
      <c r="F57" s="72" t="s">
        <v>108</v>
      </c>
      <c r="G57" s="72" t="s">
        <v>108</v>
      </c>
      <c r="H57" s="122">
        <v>101</v>
      </c>
      <c r="I57" s="122">
        <v>102</v>
      </c>
      <c r="J57" s="122">
        <v>103</v>
      </c>
      <c r="K57" s="72">
        <v>10</v>
      </c>
      <c r="N57" s="61"/>
    </row>
    <row r="58" spans="1:14" ht="15.75" customHeight="1">
      <c r="A58" s="53" t="s">
        <v>352</v>
      </c>
      <c r="B58" s="71" t="s">
        <v>241</v>
      </c>
      <c r="C58" s="122"/>
      <c r="D58" s="72" t="s">
        <v>244</v>
      </c>
      <c r="E58" s="72" t="s">
        <v>528</v>
      </c>
      <c r="F58" s="72" t="s">
        <v>108</v>
      </c>
      <c r="G58" s="72" t="s">
        <v>108</v>
      </c>
      <c r="H58" s="95">
        <f>4706*H57/100/1000</f>
        <v>4.7530600000000005</v>
      </c>
      <c r="I58" s="95">
        <f>4706*I57/100/1000</f>
        <v>4.8001199999999997</v>
      </c>
      <c r="J58" s="95">
        <f>4706*J57/100/1000</f>
        <v>4.8471800000000007</v>
      </c>
      <c r="K58" s="72">
        <v>10</v>
      </c>
      <c r="N58" s="61"/>
    </row>
    <row r="59" spans="1:14">
      <c r="A59" s="53" t="s">
        <v>353</v>
      </c>
      <c r="B59" s="71" t="s">
        <v>242</v>
      </c>
      <c r="C59" s="122"/>
      <c r="D59" s="72" t="s">
        <v>54</v>
      </c>
      <c r="E59" s="72" t="s">
        <v>528</v>
      </c>
      <c r="F59" s="72" t="s">
        <v>108</v>
      </c>
      <c r="G59" s="72" t="s">
        <v>108</v>
      </c>
      <c r="H59" s="122">
        <v>104.2</v>
      </c>
      <c r="I59" s="122">
        <v>106.3</v>
      </c>
      <c r="J59" s="122">
        <v>108.2</v>
      </c>
      <c r="K59" s="72">
        <v>10</v>
      </c>
      <c r="N59" s="61"/>
    </row>
    <row r="60" spans="1:14">
      <c r="A60" s="53" t="s">
        <v>354</v>
      </c>
      <c r="B60" s="71" t="s">
        <v>243</v>
      </c>
      <c r="C60" s="122"/>
      <c r="D60" s="72" t="s">
        <v>244</v>
      </c>
      <c r="E60" s="72" t="s">
        <v>528</v>
      </c>
      <c r="F60" s="72" t="s">
        <v>108</v>
      </c>
      <c r="G60" s="72" t="s">
        <v>108</v>
      </c>
      <c r="H60" s="95">
        <f>1874/1000*H59/100</f>
        <v>1.9527080000000001</v>
      </c>
      <c r="I60" s="95">
        <f>1874/1000*I59/100</f>
        <v>1.992062</v>
      </c>
      <c r="J60" s="95">
        <f>1874/1000*J59/100</f>
        <v>2.0276680000000002</v>
      </c>
      <c r="K60" s="72">
        <v>10</v>
      </c>
      <c r="N60" s="61"/>
    </row>
    <row r="61" spans="1:14" ht="76.5" customHeight="1">
      <c r="A61" s="53" t="s">
        <v>314</v>
      </c>
      <c r="B61" s="71" t="s">
        <v>517</v>
      </c>
      <c r="C61" s="122" t="s">
        <v>288</v>
      </c>
      <c r="D61" s="72" t="s">
        <v>272</v>
      </c>
      <c r="E61" s="95">
        <v>76.760000000000005</v>
      </c>
      <c r="F61" s="95">
        <v>100</v>
      </c>
      <c r="G61" s="95">
        <v>100</v>
      </c>
      <c r="H61" s="95">
        <v>100</v>
      </c>
      <c r="I61" s="95">
        <v>100</v>
      </c>
      <c r="J61" s="95">
        <v>100</v>
      </c>
      <c r="K61" s="72">
        <v>10</v>
      </c>
    </row>
    <row r="62" spans="1:14" ht="45.75" customHeight="1">
      <c r="A62" s="53" t="s">
        <v>504</v>
      </c>
      <c r="B62" s="71" t="s">
        <v>505</v>
      </c>
      <c r="C62" s="89" t="s">
        <v>282</v>
      </c>
      <c r="D62" s="72" t="s">
        <v>193</v>
      </c>
      <c r="E62" s="72" t="s">
        <v>528</v>
      </c>
      <c r="F62" s="72" t="s">
        <v>55</v>
      </c>
      <c r="G62" s="72" t="s">
        <v>55</v>
      </c>
      <c r="H62" s="72">
        <v>4</v>
      </c>
      <c r="I62" s="72">
        <v>4</v>
      </c>
      <c r="J62" s="72">
        <v>4</v>
      </c>
      <c r="K62" s="72">
        <v>10</v>
      </c>
      <c r="L62" t="s">
        <v>525</v>
      </c>
    </row>
    <row r="63" spans="1:14">
      <c r="A63" s="53" t="s">
        <v>93</v>
      </c>
      <c r="B63" s="189" t="s">
        <v>322</v>
      </c>
      <c r="C63" s="192"/>
      <c r="D63" s="192"/>
      <c r="E63" s="192"/>
      <c r="F63" s="192"/>
      <c r="G63" s="192"/>
      <c r="H63" s="192"/>
      <c r="I63" s="192"/>
      <c r="J63" s="192"/>
      <c r="K63" s="193"/>
    </row>
    <row r="64" spans="1:14" ht="82.5" customHeight="1">
      <c r="A64" s="53" t="s">
        <v>94</v>
      </c>
      <c r="B64" s="71" t="s">
        <v>399</v>
      </c>
      <c r="C64" s="89" t="s">
        <v>253</v>
      </c>
      <c r="D64" s="107" t="s">
        <v>272</v>
      </c>
      <c r="E64" s="72" t="s">
        <v>528</v>
      </c>
      <c r="F64" s="72" t="s">
        <v>108</v>
      </c>
      <c r="G64" s="72" t="s">
        <v>108</v>
      </c>
      <c r="H64" s="108">
        <f>((100-(1/2*100))+(100-(1/2*100))+(100-(2/2*100))+(100-(2/2*100)))/4</f>
        <v>25</v>
      </c>
      <c r="I64" s="108">
        <f>((100-(1/2*100))+(100-(1/2*100))+(100-(2/2*100))+(100-(2/2*100)))/4</f>
        <v>25</v>
      </c>
      <c r="J64" s="108">
        <f>((100-(0/2*100))+(100-(0/2*100))+(100-(2/2*100))+(100-(1/2*100)))/4</f>
        <v>62.5</v>
      </c>
      <c r="K64" s="72">
        <v>11</v>
      </c>
    </row>
    <row r="65" spans="1:13" ht="51">
      <c r="A65" s="53" t="s">
        <v>204</v>
      </c>
      <c r="B65" s="71" t="s">
        <v>400</v>
      </c>
      <c r="C65" s="89" t="s">
        <v>253</v>
      </c>
      <c r="D65" s="107" t="s">
        <v>193</v>
      </c>
      <c r="E65" s="72" t="s">
        <v>528</v>
      </c>
      <c r="F65" s="72" t="s">
        <v>108</v>
      </c>
      <c r="G65" s="72" t="s">
        <v>108</v>
      </c>
      <c r="H65" s="108">
        <v>0</v>
      </c>
      <c r="I65" s="108">
        <v>1</v>
      </c>
      <c r="J65" s="108">
        <v>0</v>
      </c>
      <c r="K65" s="72">
        <v>11</v>
      </c>
      <c r="L65" t="s">
        <v>521</v>
      </c>
    </row>
    <row r="66" spans="1:13" ht="51">
      <c r="A66" s="53" t="s">
        <v>317</v>
      </c>
      <c r="B66" s="71" t="s">
        <v>401</v>
      </c>
      <c r="C66" s="89" t="s">
        <v>253</v>
      </c>
      <c r="D66" s="107" t="s">
        <v>193</v>
      </c>
      <c r="E66" s="72" t="s">
        <v>528</v>
      </c>
      <c r="F66" s="72" t="s">
        <v>108</v>
      </c>
      <c r="G66" s="72" t="s">
        <v>108</v>
      </c>
      <c r="H66" s="108">
        <v>0</v>
      </c>
      <c r="I66" s="108">
        <v>0</v>
      </c>
      <c r="J66" s="108">
        <v>1</v>
      </c>
      <c r="K66" s="72">
        <v>11</v>
      </c>
      <c r="L66" t="s">
        <v>520</v>
      </c>
    </row>
    <row r="67" spans="1:13" ht="39.75" customHeight="1">
      <c r="A67" s="53" t="s">
        <v>323</v>
      </c>
      <c r="B67" s="71" t="s">
        <v>110</v>
      </c>
      <c r="C67" s="122" t="s">
        <v>225</v>
      </c>
      <c r="D67" s="72" t="s">
        <v>56</v>
      </c>
      <c r="E67" s="72">
        <v>1</v>
      </c>
      <c r="F67" s="72">
        <v>1</v>
      </c>
      <c r="G67" s="72">
        <v>3</v>
      </c>
      <c r="H67" s="72">
        <v>3</v>
      </c>
      <c r="I67" s="72">
        <v>3</v>
      </c>
      <c r="J67" s="72">
        <v>3</v>
      </c>
      <c r="K67" s="72">
        <v>11</v>
      </c>
      <c r="L67" t="s">
        <v>422</v>
      </c>
    </row>
    <row r="68" spans="1:13" ht="39" customHeight="1">
      <c r="A68" s="53" t="s">
        <v>396</v>
      </c>
      <c r="B68" s="109" t="s">
        <v>485</v>
      </c>
      <c r="C68" s="122" t="s">
        <v>324</v>
      </c>
      <c r="D68" s="72" t="s">
        <v>193</v>
      </c>
      <c r="E68" s="72">
        <v>0</v>
      </c>
      <c r="F68" s="72">
        <v>0</v>
      </c>
      <c r="G68" s="72">
        <v>0</v>
      </c>
      <c r="H68" s="72">
        <v>2</v>
      </c>
      <c r="I68" s="72">
        <v>0</v>
      </c>
      <c r="J68" s="72">
        <v>0</v>
      </c>
      <c r="K68" s="72">
        <v>11</v>
      </c>
      <c r="L68" t="s">
        <v>423</v>
      </c>
    </row>
    <row r="69" spans="1:13" ht="38.25">
      <c r="A69" s="53" t="s">
        <v>397</v>
      </c>
      <c r="B69" s="71" t="s">
        <v>191</v>
      </c>
      <c r="C69" s="122" t="s">
        <v>225</v>
      </c>
      <c r="D69" s="72" t="s">
        <v>54</v>
      </c>
      <c r="E69" s="72">
        <v>0</v>
      </c>
      <c r="F69" s="72">
        <v>30</v>
      </c>
      <c r="G69" s="72">
        <v>70</v>
      </c>
      <c r="H69" s="72" t="s">
        <v>55</v>
      </c>
      <c r="I69" s="72" t="s">
        <v>55</v>
      </c>
      <c r="J69" s="72" t="s">
        <v>55</v>
      </c>
      <c r="K69" s="72">
        <v>11</v>
      </c>
    </row>
    <row r="70" spans="1:13" ht="53.25" customHeight="1">
      <c r="A70" s="53" t="s">
        <v>398</v>
      </c>
      <c r="B70" s="109" t="s">
        <v>195</v>
      </c>
      <c r="C70" s="122" t="s">
        <v>225</v>
      </c>
      <c r="D70" s="72" t="s">
        <v>54</v>
      </c>
      <c r="E70" s="72">
        <v>0</v>
      </c>
      <c r="F70" s="72">
        <v>30</v>
      </c>
      <c r="G70" s="72">
        <v>70</v>
      </c>
      <c r="H70" s="72" t="s">
        <v>55</v>
      </c>
      <c r="I70" s="72" t="s">
        <v>55</v>
      </c>
      <c r="J70" s="72" t="s">
        <v>55</v>
      </c>
      <c r="K70" s="72">
        <v>11</v>
      </c>
    </row>
    <row r="71" spans="1:13" ht="44.25" customHeight="1">
      <c r="A71" s="53" t="s">
        <v>98</v>
      </c>
      <c r="B71" s="189" t="s">
        <v>327</v>
      </c>
      <c r="C71" s="192"/>
      <c r="D71" s="192"/>
      <c r="E71" s="192"/>
      <c r="F71" s="192"/>
      <c r="G71" s="192"/>
      <c r="H71" s="192"/>
      <c r="I71" s="192"/>
      <c r="J71" s="192"/>
      <c r="K71" s="193"/>
    </row>
    <row r="72" spans="1:13" ht="42" customHeight="1">
      <c r="A72" s="53" t="s">
        <v>99</v>
      </c>
      <c r="B72" s="71" t="s">
        <v>111</v>
      </c>
      <c r="C72" s="138" t="s">
        <v>282</v>
      </c>
      <c r="D72" s="72" t="s">
        <v>54</v>
      </c>
      <c r="E72" s="72">
        <v>3</v>
      </c>
      <c r="F72" s="72">
        <v>100</v>
      </c>
      <c r="G72" s="72" t="s">
        <v>55</v>
      </c>
      <c r="H72" s="72" t="s">
        <v>55</v>
      </c>
      <c r="I72" s="72" t="s">
        <v>55</v>
      </c>
      <c r="J72" s="72" t="s">
        <v>55</v>
      </c>
      <c r="K72" s="72">
        <v>12</v>
      </c>
    </row>
    <row r="73" spans="1:13" ht="42" customHeight="1">
      <c r="A73" s="53" t="s">
        <v>502</v>
      </c>
      <c r="B73" s="71" t="s">
        <v>503</v>
      </c>
      <c r="C73" s="147" t="s">
        <v>253</v>
      </c>
      <c r="D73" s="72" t="s">
        <v>193</v>
      </c>
      <c r="E73" s="72" t="s">
        <v>528</v>
      </c>
      <c r="F73" s="72" t="s">
        <v>108</v>
      </c>
      <c r="G73" s="72" t="s">
        <v>108</v>
      </c>
      <c r="H73" s="108">
        <v>0</v>
      </c>
      <c r="I73" s="108">
        <v>0</v>
      </c>
      <c r="J73" s="108">
        <v>0</v>
      </c>
      <c r="K73" s="138">
        <v>12</v>
      </c>
    </row>
    <row r="74" spans="1:13">
      <c r="A74" s="53" t="s">
        <v>112</v>
      </c>
      <c r="B74" s="189" t="s">
        <v>329</v>
      </c>
      <c r="C74" s="192"/>
      <c r="D74" s="192"/>
      <c r="E74" s="192"/>
      <c r="F74" s="192"/>
      <c r="G74" s="192"/>
      <c r="H74" s="192"/>
      <c r="I74" s="192"/>
      <c r="J74" s="192"/>
      <c r="K74" s="193"/>
    </row>
    <row r="75" spans="1:13" ht="25.5">
      <c r="A75" s="53" t="s">
        <v>101</v>
      </c>
      <c r="B75" s="71" t="s">
        <v>328</v>
      </c>
      <c r="C75" s="122" t="s">
        <v>330</v>
      </c>
      <c r="D75" s="72" t="s">
        <v>54</v>
      </c>
      <c r="E75" s="72" t="s">
        <v>528</v>
      </c>
      <c r="F75" s="72" t="s">
        <v>108</v>
      </c>
      <c r="G75" s="72" t="s">
        <v>108</v>
      </c>
      <c r="H75" s="73">
        <f>(37-6)/37*100</f>
        <v>83.78378378378379</v>
      </c>
      <c r="I75" s="73">
        <f>(37-5)/37*100</f>
        <v>86.486486486486484</v>
      </c>
      <c r="J75" s="73">
        <f>(37-2)/37*100</f>
        <v>94.594594594594597</v>
      </c>
      <c r="K75" s="122">
        <v>13</v>
      </c>
      <c r="M75" t="s">
        <v>425</v>
      </c>
    </row>
    <row r="76" spans="1:13" ht="38.25">
      <c r="A76" s="123" t="s">
        <v>444</v>
      </c>
      <c r="B76" s="71" t="s">
        <v>426</v>
      </c>
      <c r="C76" s="122" t="s">
        <v>225</v>
      </c>
      <c r="D76" s="122" t="s">
        <v>54</v>
      </c>
      <c r="E76" s="72">
        <v>0</v>
      </c>
      <c r="F76" s="72">
        <f>1/3*100</f>
        <v>33.333333333333329</v>
      </c>
      <c r="G76" s="72">
        <v>100</v>
      </c>
      <c r="H76" s="72">
        <v>100</v>
      </c>
      <c r="I76" s="72">
        <v>100</v>
      </c>
      <c r="J76" s="72">
        <f>3/3*100</f>
        <v>100</v>
      </c>
      <c r="K76" s="122">
        <v>13</v>
      </c>
      <c r="M76" t="s">
        <v>447</v>
      </c>
    </row>
    <row r="77" spans="1:13" ht="38.25">
      <c r="A77" s="123" t="s">
        <v>445</v>
      </c>
      <c r="B77" s="71" t="s">
        <v>427</v>
      </c>
      <c r="C77" s="122" t="s">
        <v>225</v>
      </c>
      <c r="D77" s="122" t="s">
        <v>428</v>
      </c>
      <c r="E77" s="72">
        <v>100</v>
      </c>
      <c r="F77" s="72">
        <v>105</v>
      </c>
      <c r="G77" s="72">
        <v>110</v>
      </c>
      <c r="H77" s="72">
        <v>115</v>
      </c>
      <c r="I77" s="72">
        <v>120</v>
      </c>
      <c r="J77" s="72">
        <v>125</v>
      </c>
      <c r="K77" s="122">
        <v>13</v>
      </c>
    </row>
    <row r="78" spans="1:13" ht="11.25" customHeight="1"/>
    <row r="79" spans="1:13">
      <c r="A79" s="194" t="s">
        <v>278</v>
      </c>
      <c r="B79" s="194"/>
    </row>
    <row r="80" spans="1:13">
      <c r="A80" s="194" t="s">
        <v>273</v>
      </c>
      <c r="B80" s="194"/>
    </row>
    <row r="81" spans="1:3">
      <c r="A81" s="194" t="s">
        <v>529</v>
      </c>
      <c r="B81" s="194"/>
      <c r="C81" s="150"/>
    </row>
    <row r="82" spans="1:3">
      <c r="A82" s="194" t="s">
        <v>527</v>
      </c>
      <c r="B82" s="194"/>
    </row>
  </sheetData>
  <mergeCells count="29">
    <mergeCell ref="A82:B82"/>
    <mergeCell ref="A80:B80"/>
    <mergeCell ref="B63:K63"/>
    <mergeCell ref="B6:B7"/>
    <mergeCell ref="E6:E7"/>
    <mergeCell ref="B71:K71"/>
    <mergeCell ref="B45:K45"/>
    <mergeCell ref="B22:K22"/>
    <mergeCell ref="A79:B79"/>
    <mergeCell ref="B35:K35"/>
    <mergeCell ref="B38:K38"/>
    <mergeCell ref="B41:K41"/>
    <mergeCell ref="B10:K10"/>
    <mergeCell ref="A9:K9"/>
    <mergeCell ref="B13:K13"/>
    <mergeCell ref="B30:K30"/>
    <mergeCell ref="B28:K28"/>
    <mergeCell ref="B74:K74"/>
    <mergeCell ref="B49:K49"/>
    <mergeCell ref="A81:B81"/>
    <mergeCell ref="A1:K1"/>
    <mergeCell ref="A2:K2"/>
    <mergeCell ref="A3:K3"/>
    <mergeCell ref="A4:K4"/>
    <mergeCell ref="A6:A7"/>
    <mergeCell ref="C6:C7"/>
    <mergeCell ref="F6:J6"/>
    <mergeCell ref="K6:K7"/>
    <mergeCell ref="D6:D7"/>
  </mergeCells>
  <phoneticPr fontId="5" type="noConversion"/>
  <pageMargins left="0.39370078740157483" right="0.39370078740157483" top="0.39370078740157483" bottom="0.39370078740157483" header="0" footer="0"/>
  <pageSetup paperSize="9" scale="79" orientation="landscape" verticalDpi="0" r:id="rId1"/>
  <rowBreaks count="4" manualBreakCount="4">
    <brk id="25" max="10" man="1"/>
    <brk id="40" max="10" man="1"/>
    <brk id="60" max="10" man="1"/>
    <brk id="72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L166"/>
  <sheetViews>
    <sheetView view="pageBreakPreview" topLeftCell="A176" zoomScale="90" zoomScaleNormal="80" zoomScaleSheetLayoutView="90" workbookViewId="0">
      <selection activeCell="B55" sqref="B55:B59"/>
    </sheetView>
  </sheetViews>
  <sheetFormatPr defaultColWidth="8.85546875" defaultRowHeight="15"/>
  <cols>
    <col min="1" max="1" width="8.85546875" style="18"/>
    <col min="2" max="2" width="36.140625" style="8" customWidth="1"/>
    <col min="3" max="3" width="61.42578125" style="8" customWidth="1"/>
    <col min="4" max="4" width="53.7109375" style="8" customWidth="1"/>
    <col min="5" max="5" width="15.7109375" style="8" customWidth="1"/>
    <col min="6" max="8" width="8.85546875" style="8"/>
    <col min="9" max="9" width="22" style="8" customWidth="1"/>
    <col min="10" max="10" width="25" style="8" customWidth="1"/>
    <col min="11" max="11" width="18.5703125" style="8" customWidth="1"/>
    <col min="12" max="12" width="25.28515625" style="8" customWidth="1"/>
    <col min="13" max="16384" width="8.85546875" style="8"/>
  </cols>
  <sheetData>
    <row r="1" spans="1:11" ht="15.75">
      <c r="A1" s="224" t="s">
        <v>143</v>
      </c>
      <c r="B1" s="225"/>
      <c r="C1" s="225"/>
      <c r="D1" s="225"/>
      <c r="E1" s="225"/>
      <c r="F1" s="16"/>
    </row>
    <row r="2" spans="1:11">
      <c r="A2" s="39"/>
    </row>
    <row r="3" spans="1:11">
      <c r="A3" s="226" t="s">
        <v>205</v>
      </c>
      <c r="B3" s="227"/>
      <c r="C3" s="227"/>
      <c r="D3" s="227"/>
      <c r="E3" s="227"/>
    </row>
    <row r="4" spans="1:11" ht="42" customHeight="1">
      <c r="A4" s="228" t="s">
        <v>75</v>
      </c>
      <c r="B4" s="229"/>
      <c r="C4" s="229"/>
      <c r="D4" s="229"/>
      <c r="E4" s="229"/>
      <c r="F4" s="1"/>
      <c r="G4" s="1"/>
      <c r="H4" s="1"/>
      <c r="I4" s="1"/>
      <c r="J4" s="1"/>
      <c r="K4" s="1"/>
    </row>
    <row r="5" spans="1:11">
      <c r="A5" s="35"/>
    </row>
    <row r="6" spans="1:11" ht="15" customHeight="1">
      <c r="A6" s="5" t="s">
        <v>0</v>
      </c>
      <c r="B6" s="5" t="s">
        <v>115</v>
      </c>
      <c r="C6" s="5" t="s">
        <v>116</v>
      </c>
      <c r="D6" s="5" t="s">
        <v>144</v>
      </c>
      <c r="E6" s="5" t="s">
        <v>117</v>
      </c>
    </row>
    <row r="7" spans="1:11">
      <c r="A7" s="5">
        <v>1</v>
      </c>
      <c r="B7" s="5">
        <v>2</v>
      </c>
      <c r="C7" s="5">
        <v>3</v>
      </c>
      <c r="D7" s="5">
        <v>4</v>
      </c>
      <c r="E7" s="5">
        <v>5</v>
      </c>
    </row>
    <row r="8" spans="1:11">
      <c r="A8" s="212" t="s">
        <v>23</v>
      </c>
      <c r="B8" s="157" t="s">
        <v>102</v>
      </c>
      <c r="C8" s="36" t="s">
        <v>118</v>
      </c>
      <c r="D8" s="157" t="s">
        <v>125</v>
      </c>
      <c r="E8" s="157" t="s">
        <v>123</v>
      </c>
    </row>
    <row r="9" spans="1:11">
      <c r="A9" s="212"/>
      <c r="B9" s="157"/>
      <c r="C9" s="37" t="s">
        <v>119</v>
      </c>
      <c r="D9" s="157"/>
      <c r="E9" s="157"/>
    </row>
    <row r="10" spans="1:11">
      <c r="A10" s="212"/>
      <c r="B10" s="157"/>
      <c r="C10" s="37" t="s">
        <v>120</v>
      </c>
      <c r="D10" s="157"/>
      <c r="E10" s="157"/>
    </row>
    <row r="11" spans="1:11">
      <c r="A11" s="212"/>
      <c r="B11" s="157"/>
      <c r="C11" s="37" t="s">
        <v>121</v>
      </c>
      <c r="D11" s="157"/>
      <c r="E11" s="157"/>
    </row>
    <row r="12" spans="1:11" ht="15" customHeight="1">
      <c r="A12" s="212"/>
      <c r="B12" s="157"/>
      <c r="C12" s="38" t="s">
        <v>122</v>
      </c>
      <c r="D12" s="157"/>
      <c r="E12" s="157"/>
    </row>
    <row r="13" spans="1:11" ht="16.5" customHeight="1">
      <c r="A13" s="218" t="s">
        <v>334</v>
      </c>
      <c r="B13" s="213" t="s">
        <v>290</v>
      </c>
      <c r="C13" s="85" t="s">
        <v>118</v>
      </c>
      <c r="D13" s="213" t="s">
        <v>125</v>
      </c>
      <c r="E13" s="213" t="s">
        <v>123</v>
      </c>
    </row>
    <row r="14" spans="1:11" ht="12.75" customHeight="1">
      <c r="A14" s="219"/>
      <c r="B14" s="216"/>
      <c r="C14" s="86" t="s">
        <v>335</v>
      </c>
      <c r="D14" s="214"/>
      <c r="E14" s="216"/>
    </row>
    <row r="15" spans="1:11" ht="42" customHeight="1">
      <c r="A15" s="219"/>
      <c r="B15" s="216"/>
      <c r="C15" s="86" t="s">
        <v>336</v>
      </c>
      <c r="D15" s="214"/>
      <c r="E15" s="216"/>
    </row>
    <row r="16" spans="1:11" ht="41.25" customHeight="1">
      <c r="A16" s="219"/>
      <c r="B16" s="216"/>
      <c r="C16" s="86" t="s">
        <v>337</v>
      </c>
      <c r="D16" s="214"/>
      <c r="E16" s="216"/>
    </row>
    <row r="17" spans="1:5" ht="30.75" customHeight="1">
      <c r="A17" s="219"/>
      <c r="B17" s="216"/>
      <c r="C17" s="86" t="s">
        <v>338</v>
      </c>
      <c r="D17" s="214"/>
      <c r="E17" s="216"/>
    </row>
    <row r="18" spans="1:5" ht="43.5" customHeight="1">
      <c r="A18" s="221"/>
      <c r="B18" s="222"/>
      <c r="C18" s="93" t="s">
        <v>339</v>
      </c>
      <c r="D18" s="215"/>
      <c r="E18" s="217"/>
    </row>
    <row r="19" spans="1:5" ht="19.5" customHeight="1">
      <c r="A19" s="218" t="s">
        <v>466</v>
      </c>
      <c r="B19" s="213" t="s">
        <v>448</v>
      </c>
      <c r="C19" s="126" t="s">
        <v>118</v>
      </c>
      <c r="D19" s="213" t="s">
        <v>472</v>
      </c>
      <c r="E19" s="213" t="s">
        <v>124</v>
      </c>
    </row>
    <row r="20" spans="1:5" ht="16.5" customHeight="1">
      <c r="A20" s="219"/>
      <c r="B20" s="216"/>
      <c r="C20" s="127" t="s">
        <v>467</v>
      </c>
      <c r="D20" s="214"/>
      <c r="E20" s="216"/>
    </row>
    <row r="21" spans="1:5" ht="15.75" customHeight="1">
      <c r="A21" s="219"/>
      <c r="B21" s="216"/>
      <c r="C21" s="127" t="s">
        <v>468</v>
      </c>
      <c r="D21" s="214"/>
      <c r="E21" s="216"/>
    </row>
    <row r="22" spans="1:5" ht="26.25" customHeight="1">
      <c r="A22" s="219"/>
      <c r="B22" s="216"/>
      <c r="C22" s="127" t="s">
        <v>469</v>
      </c>
      <c r="D22" s="214"/>
      <c r="E22" s="216"/>
    </row>
    <row r="23" spans="1:5" ht="27" customHeight="1">
      <c r="A23" s="219"/>
      <c r="B23" s="216"/>
      <c r="C23" s="127" t="s">
        <v>470</v>
      </c>
      <c r="D23" s="214"/>
      <c r="E23" s="216"/>
    </row>
    <row r="24" spans="1:5" ht="16.5" customHeight="1">
      <c r="A24" s="221"/>
      <c r="B24" s="222"/>
      <c r="C24" s="93" t="s">
        <v>471</v>
      </c>
      <c r="D24" s="215"/>
      <c r="E24" s="217"/>
    </row>
    <row r="25" spans="1:5" ht="19.5" customHeight="1">
      <c r="A25" s="218" t="s">
        <v>473</v>
      </c>
      <c r="B25" s="213" t="s">
        <v>474</v>
      </c>
      <c r="C25" s="126" t="s">
        <v>118</v>
      </c>
      <c r="D25" s="213" t="s">
        <v>477</v>
      </c>
      <c r="E25" s="213" t="s">
        <v>142</v>
      </c>
    </row>
    <row r="26" spans="1:5" ht="16.5" customHeight="1">
      <c r="A26" s="219"/>
      <c r="B26" s="216"/>
      <c r="C26" s="127" t="s">
        <v>478</v>
      </c>
      <c r="D26" s="214"/>
      <c r="E26" s="216"/>
    </row>
    <row r="27" spans="1:5" ht="15.75" customHeight="1">
      <c r="A27" s="219"/>
      <c r="B27" s="216"/>
      <c r="C27" s="127" t="s">
        <v>475</v>
      </c>
      <c r="D27" s="214"/>
      <c r="E27" s="216"/>
    </row>
    <row r="28" spans="1:5" ht="12.75" customHeight="1">
      <c r="A28" s="219"/>
      <c r="B28" s="216"/>
      <c r="C28" s="127" t="s">
        <v>476</v>
      </c>
      <c r="D28" s="214"/>
      <c r="E28" s="216"/>
    </row>
    <row r="29" spans="1:5" ht="14.25" customHeight="1">
      <c r="A29" s="220"/>
      <c r="B29" s="223"/>
      <c r="C29" s="128" t="s">
        <v>479</v>
      </c>
      <c r="D29" s="217"/>
      <c r="E29" s="223"/>
    </row>
    <row r="30" spans="1:5" ht="18" customHeight="1">
      <c r="A30" s="218" t="s">
        <v>480</v>
      </c>
      <c r="B30" s="213" t="s">
        <v>518</v>
      </c>
      <c r="C30" s="126" t="s">
        <v>118</v>
      </c>
      <c r="D30" s="213" t="s">
        <v>481</v>
      </c>
      <c r="E30" s="213" t="s">
        <v>142</v>
      </c>
    </row>
    <row r="31" spans="1:5" ht="15.75" customHeight="1">
      <c r="A31" s="219"/>
      <c r="B31" s="216"/>
      <c r="C31" s="127" t="s">
        <v>478</v>
      </c>
      <c r="D31" s="214"/>
      <c r="E31" s="216"/>
    </row>
    <row r="32" spans="1:5" ht="15.75" customHeight="1">
      <c r="A32" s="219"/>
      <c r="B32" s="216"/>
      <c r="C32" s="127" t="s">
        <v>475</v>
      </c>
      <c r="D32" s="214"/>
      <c r="E32" s="216"/>
    </row>
    <row r="33" spans="1:5" ht="13.5" customHeight="1">
      <c r="A33" s="219"/>
      <c r="B33" s="216"/>
      <c r="C33" s="127" t="s">
        <v>476</v>
      </c>
      <c r="D33" s="214"/>
      <c r="E33" s="216"/>
    </row>
    <row r="34" spans="1:5" ht="15.75" customHeight="1">
      <c r="A34" s="220"/>
      <c r="B34" s="223"/>
      <c r="C34" s="128" t="s">
        <v>479</v>
      </c>
      <c r="D34" s="217"/>
      <c r="E34" s="223"/>
    </row>
    <row r="35" spans="1:5" ht="16.5" customHeight="1">
      <c r="A35" s="206" t="s">
        <v>29</v>
      </c>
      <c r="B35" s="213" t="s">
        <v>271</v>
      </c>
      <c r="C35" s="36" t="s">
        <v>118</v>
      </c>
      <c r="D35" s="213" t="s">
        <v>365</v>
      </c>
      <c r="E35" s="213" t="s">
        <v>124</v>
      </c>
    </row>
    <row r="36" spans="1:5">
      <c r="A36" s="207"/>
      <c r="B36" s="216"/>
      <c r="C36" s="69" t="s">
        <v>367</v>
      </c>
      <c r="D36" s="216"/>
      <c r="E36" s="216"/>
    </row>
    <row r="37" spans="1:5">
      <c r="A37" s="207"/>
      <c r="B37" s="216"/>
      <c r="C37" s="69" t="s">
        <v>373</v>
      </c>
      <c r="D37" s="216"/>
      <c r="E37" s="216"/>
    </row>
    <row r="38" spans="1:5">
      <c r="A38" s="207"/>
      <c r="B38" s="216"/>
      <c r="C38" s="69" t="s">
        <v>366</v>
      </c>
      <c r="D38" s="216"/>
      <c r="E38" s="216"/>
    </row>
    <row r="39" spans="1:5" ht="15" customHeight="1">
      <c r="A39" s="208"/>
      <c r="B39" s="223"/>
      <c r="C39" s="69" t="s">
        <v>374</v>
      </c>
      <c r="D39" s="223"/>
      <c r="E39" s="223"/>
    </row>
    <row r="40" spans="1:5" ht="19.5" customHeight="1">
      <c r="A40" s="203" t="s">
        <v>12</v>
      </c>
      <c r="B40" s="204" t="s">
        <v>275</v>
      </c>
      <c r="C40" s="68" t="s">
        <v>118</v>
      </c>
      <c r="D40" s="204" t="s">
        <v>230</v>
      </c>
      <c r="E40" s="204" t="s">
        <v>142</v>
      </c>
    </row>
    <row r="41" spans="1:5" ht="15.75" customHeight="1">
      <c r="A41" s="203"/>
      <c r="B41" s="204"/>
      <c r="C41" s="69" t="s">
        <v>226</v>
      </c>
      <c r="D41" s="204"/>
      <c r="E41" s="204"/>
    </row>
    <row r="42" spans="1:5" ht="40.5" customHeight="1">
      <c r="A42" s="203"/>
      <c r="B42" s="204"/>
      <c r="C42" s="69" t="s">
        <v>228</v>
      </c>
      <c r="D42" s="204"/>
      <c r="E42" s="204"/>
    </row>
    <row r="43" spans="1:5" ht="37.5" customHeight="1">
      <c r="A43" s="203"/>
      <c r="B43" s="204"/>
      <c r="C43" s="69" t="s">
        <v>227</v>
      </c>
      <c r="D43" s="204"/>
      <c r="E43" s="204"/>
    </row>
    <row r="44" spans="1:5" ht="26.25" customHeight="1">
      <c r="A44" s="203"/>
      <c r="B44" s="204"/>
      <c r="C44" s="69" t="s">
        <v>229</v>
      </c>
      <c r="D44" s="204"/>
      <c r="E44" s="204"/>
    </row>
    <row r="45" spans="1:5" ht="18" customHeight="1">
      <c r="A45" s="203" t="s">
        <v>32</v>
      </c>
      <c r="B45" s="204" t="s">
        <v>269</v>
      </c>
      <c r="C45" s="68" t="s">
        <v>118</v>
      </c>
      <c r="D45" s="204" t="s">
        <v>365</v>
      </c>
      <c r="E45" s="204" t="s">
        <v>124</v>
      </c>
    </row>
    <row r="46" spans="1:5" ht="12.75" customHeight="1">
      <c r="A46" s="203"/>
      <c r="B46" s="204"/>
      <c r="C46" s="69" t="s">
        <v>360</v>
      </c>
      <c r="D46" s="204"/>
      <c r="E46" s="204"/>
    </row>
    <row r="47" spans="1:5" ht="31.5" customHeight="1">
      <c r="A47" s="203"/>
      <c r="B47" s="204"/>
      <c r="C47" s="69" t="s">
        <v>371</v>
      </c>
      <c r="D47" s="204"/>
      <c r="E47" s="204"/>
    </row>
    <row r="48" spans="1:5" ht="18" customHeight="1">
      <c r="A48" s="203"/>
      <c r="B48" s="204"/>
      <c r="C48" s="69" t="s">
        <v>372</v>
      </c>
      <c r="D48" s="204"/>
      <c r="E48" s="204"/>
    </row>
    <row r="49" spans="1:5" ht="16.5" customHeight="1">
      <c r="A49" s="203"/>
      <c r="B49" s="204"/>
      <c r="C49" s="69" t="s">
        <v>363</v>
      </c>
      <c r="D49" s="204"/>
      <c r="E49" s="204"/>
    </row>
    <row r="50" spans="1:5" ht="15" customHeight="1">
      <c r="A50" s="203" t="s">
        <v>87</v>
      </c>
      <c r="B50" s="204" t="s">
        <v>270</v>
      </c>
      <c r="C50" s="68" t="s">
        <v>118</v>
      </c>
      <c r="D50" s="204" t="s">
        <v>365</v>
      </c>
      <c r="E50" s="204" t="s">
        <v>124</v>
      </c>
    </row>
    <row r="51" spans="1:5">
      <c r="A51" s="203"/>
      <c r="B51" s="204"/>
      <c r="C51" s="69" t="s">
        <v>360</v>
      </c>
      <c r="D51" s="204"/>
      <c r="E51" s="204"/>
    </row>
    <row r="52" spans="1:5" ht="25.5">
      <c r="A52" s="203"/>
      <c r="B52" s="204"/>
      <c r="C52" s="69" t="s">
        <v>361</v>
      </c>
      <c r="D52" s="204"/>
      <c r="E52" s="204"/>
    </row>
    <row r="53" spans="1:5">
      <c r="A53" s="203"/>
      <c r="B53" s="204"/>
      <c r="C53" s="69" t="s">
        <v>362</v>
      </c>
      <c r="D53" s="204"/>
      <c r="E53" s="204"/>
    </row>
    <row r="54" spans="1:5" ht="19.5" customHeight="1">
      <c r="A54" s="203"/>
      <c r="B54" s="204"/>
      <c r="C54" s="69" t="s">
        <v>363</v>
      </c>
      <c r="D54" s="204"/>
      <c r="E54" s="204"/>
    </row>
    <row r="55" spans="1:5" ht="19.5" customHeight="1">
      <c r="A55" s="203" t="s">
        <v>91</v>
      </c>
      <c r="B55" s="204" t="s">
        <v>542</v>
      </c>
      <c r="C55" s="68" t="s">
        <v>118</v>
      </c>
      <c r="D55" s="204" t="s">
        <v>365</v>
      </c>
      <c r="E55" s="204" t="s">
        <v>124</v>
      </c>
    </row>
    <row r="56" spans="1:5" ht="15" customHeight="1">
      <c r="A56" s="203"/>
      <c r="B56" s="204"/>
      <c r="C56" s="69" t="s">
        <v>360</v>
      </c>
      <c r="D56" s="204"/>
      <c r="E56" s="204"/>
    </row>
    <row r="57" spans="1:5" ht="27" customHeight="1">
      <c r="A57" s="203"/>
      <c r="B57" s="204"/>
      <c r="C57" s="69" t="s">
        <v>361</v>
      </c>
      <c r="D57" s="204"/>
      <c r="E57" s="204"/>
    </row>
    <row r="58" spans="1:5" ht="19.5" customHeight="1">
      <c r="A58" s="203"/>
      <c r="B58" s="204"/>
      <c r="C58" s="69" t="s">
        <v>362</v>
      </c>
      <c r="D58" s="204"/>
      <c r="E58" s="204"/>
    </row>
    <row r="59" spans="1:5" ht="19.5" customHeight="1">
      <c r="A59" s="203"/>
      <c r="B59" s="204"/>
      <c r="C59" s="69" t="s">
        <v>363</v>
      </c>
      <c r="D59" s="204"/>
      <c r="E59" s="204"/>
    </row>
    <row r="60" spans="1:5" ht="40.5" customHeight="1">
      <c r="A60" s="152" t="s">
        <v>93</v>
      </c>
      <c r="B60" s="84" t="s">
        <v>267</v>
      </c>
      <c r="C60" s="84" t="s">
        <v>364</v>
      </c>
      <c r="D60" s="84" t="s">
        <v>365</v>
      </c>
      <c r="E60" s="91" t="s">
        <v>142</v>
      </c>
    </row>
    <row r="61" spans="1:5" ht="189.75" customHeight="1">
      <c r="A61" s="152" t="s">
        <v>98</v>
      </c>
      <c r="B61" s="65" t="s">
        <v>188</v>
      </c>
      <c r="C61" s="62" t="s">
        <v>127</v>
      </c>
      <c r="D61" s="14" t="s">
        <v>125</v>
      </c>
      <c r="E61" s="14" t="s">
        <v>126</v>
      </c>
    </row>
    <row r="62" spans="1:5" ht="54" customHeight="1">
      <c r="A62" s="40" t="s">
        <v>112</v>
      </c>
      <c r="B62" s="65" t="s">
        <v>104</v>
      </c>
      <c r="C62" s="63" t="s">
        <v>128</v>
      </c>
      <c r="D62" s="14" t="s">
        <v>125</v>
      </c>
      <c r="E62" s="14" t="s">
        <v>126</v>
      </c>
    </row>
    <row r="63" spans="1:5" ht="52.5" customHeight="1">
      <c r="A63" s="40" t="s">
        <v>113</v>
      </c>
      <c r="B63" s="65" t="s">
        <v>105</v>
      </c>
      <c r="C63" s="63" t="s">
        <v>129</v>
      </c>
      <c r="D63" s="14" t="s">
        <v>125</v>
      </c>
      <c r="E63" s="14" t="s">
        <v>126</v>
      </c>
    </row>
    <row r="64" spans="1:5" ht="66" customHeight="1">
      <c r="A64" s="40" t="s">
        <v>145</v>
      </c>
      <c r="B64" s="65" t="s">
        <v>106</v>
      </c>
      <c r="C64" s="87" t="s">
        <v>130</v>
      </c>
      <c r="D64" s="14" t="s">
        <v>125</v>
      </c>
      <c r="E64" s="14" t="s">
        <v>126</v>
      </c>
    </row>
    <row r="65" spans="1:5" ht="43.5" customHeight="1">
      <c r="A65" s="151" t="s">
        <v>146</v>
      </c>
      <c r="B65" s="141" t="s">
        <v>279</v>
      </c>
      <c r="C65" s="144" t="s">
        <v>519</v>
      </c>
      <c r="D65" s="83" t="s">
        <v>230</v>
      </c>
      <c r="E65" s="83" t="s">
        <v>142</v>
      </c>
    </row>
    <row r="66" spans="1:5" ht="16.5" customHeight="1">
      <c r="A66" s="205" t="s">
        <v>147</v>
      </c>
      <c r="B66" s="157" t="s">
        <v>281</v>
      </c>
      <c r="C66" s="79" t="s">
        <v>118</v>
      </c>
      <c r="D66" s="204" t="s">
        <v>365</v>
      </c>
      <c r="E66" s="204" t="s">
        <v>124</v>
      </c>
    </row>
    <row r="67" spans="1:5" ht="12.75" customHeight="1">
      <c r="A67" s="205"/>
      <c r="B67" s="157"/>
      <c r="C67" s="69" t="s">
        <v>367</v>
      </c>
      <c r="D67" s="204"/>
      <c r="E67" s="204"/>
    </row>
    <row r="68" spans="1:5" ht="15" customHeight="1">
      <c r="A68" s="205"/>
      <c r="B68" s="157"/>
      <c r="C68" s="69" t="s">
        <v>373</v>
      </c>
      <c r="D68" s="204"/>
      <c r="E68" s="204"/>
    </row>
    <row r="69" spans="1:5" ht="15" customHeight="1">
      <c r="A69" s="205"/>
      <c r="B69" s="157"/>
      <c r="C69" s="69" t="s">
        <v>366</v>
      </c>
      <c r="D69" s="204"/>
      <c r="E69" s="204"/>
    </row>
    <row r="70" spans="1:5" ht="15" customHeight="1">
      <c r="A70" s="205"/>
      <c r="B70" s="157"/>
      <c r="C70" s="69" t="s">
        <v>374</v>
      </c>
      <c r="D70" s="204"/>
      <c r="E70" s="204"/>
    </row>
    <row r="71" spans="1:5" ht="15.75" customHeight="1">
      <c r="A71" s="205" t="s">
        <v>148</v>
      </c>
      <c r="B71" s="157" t="s">
        <v>286</v>
      </c>
      <c r="C71" s="79" t="s">
        <v>118</v>
      </c>
      <c r="D71" s="204" t="s">
        <v>368</v>
      </c>
      <c r="E71" s="204" t="s">
        <v>124</v>
      </c>
    </row>
    <row r="72" spans="1:5" ht="18.75" customHeight="1">
      <c r="A72" s="205"/>
      <c r="B72" s="157"/>
      <c r="C72" s="69" t="s">
        <v>367</v>
      </c>
      <c r="D72" s="204"/>
      <c r="E72" s="204"/>
    </row>
    <row r="73" spans="1:5" ht="14.25" customHeight="1">
      <c r="A73" s="205"/>
      <c r="B73" s="157"/>
      <c r="C73" s="69" t="s">
        <v>373</v>
      </c>
      <c r="D73" s="204"/>
      <c r="E73" s="204"/>
    </row>
    <row r="74" spans="1:5" ht="14.25" customHeight="1">
      <c r="A74" s="205"/>
      <c r="B74" s="157"/>
      <c r="C74" s="69" t="s">
        <v>366</v>
      </c>
      <c r="D74" s="204"/>
      <c r="E74" s="204"/>
    </row>
    <row r="75" spans="1:5" ht="14.25" customHeight="1">
      <c r="A75" s="205"/>
      <c r="B75" s="157"/>
      <c r="C75" s="69" t="s">
        <v>374</v>
      </c>
      <c r="D75" s="204"/>
      <c r="E75" s="204"/>
    </row>
    <row r="76" spans="1:5" ht="14.25" customHeight="1">
      <c r="A76" s="205" t="s">
        <v>149</v>
      </c>
      <c r="B76" s="157" t="s">
        <v>287</v>
      </c>
      <c r="C76" s="79" t="s">
        <v>118</v>
      </c>
      <c r="D76" s="204" t="s">
        <v>194</v>
      </c>
      <c r="E76" s="204" t="s">
        <v>124</v>
      </c>
    </row>
    <row r="77" spans="1:5" ht="14.25" customHeight="1">
      <c r="A77" s="205"/>
      <c r="B77" s="157"/>
      <c r="C77" s="69" t="s">
        <v>370</v>
      </c>
      <c r="D77" s="204"/>
      <c r="E77" s="204"/>
    </row>
    <row r="78" spans="1:5" ht="14.25" customHeight="1">
      <c r="A78" s="205"/>
      <c r="B78" s="157"/>
      <c r="C78" s="69" t="s">
        <v>375</v>
      </c>
      <c r="D78" s="204"/>
      <c r="E78" s="204"/>
    </row>
    <row r="79" spans="1:5" ht="18" customHeight="1">
      <c r="A79" s="205"/>
      <c r="B79" s="157"/>
      <c r="C79" s="69" t="s">
        <v>369</v>
      </c>
      <c r="D79" s="204"/>
      <c r="E79" s="204"/>
    </row>
    <row r="80" spans="1:5" ht="14.25" customHeight="1">
      <c r="A80" s="205"/>
      <c r="B80" s="157"/>
      <c r="C80" s="70" t="s">
        <v>376</v>
      </c>
      <c r="D80" s="204"/>
      <c r="E80" s="204"/>
    </row>
    <row r="81" spans="1:5" ht="14.25" customHeight="1">
      <c r="A81" s="205" t="s">
        <v>150</v>
      </c>
      <c r="B81" s="157" t="s">
        <v>299</v>
      </c>
      <c r="C81" s="79" t="s">
        <v>118</v>
      </c>
      <c r="D81" s="204" t="s">
        <v>377</v>
      </c>
      <c r="E81" s="204" t="s">
        <v>124</v>
      </c>
    </row>
    <row r="82" spans="1:5" ht="14.25" customHeight="1">
      <c r="A82" s="205"/>
      <c r="B82" s="157"/>
      <c r="C82" s="69" t="s">
        <v>367</v>
      </c>
      <c r="D82" s="204"/>
      <c r="E82" s="204"/>
    </row>
    <row r="83" spans="1:5" ht="14.25" customHeight="1">
      <c r="A83" s="205"/>
      <c r="B83" s="157"/>
      <c r="C83" s="69" t="s">
        <v>373</v>
      </c>
      <c r="D83" s="204"/>
      <c r="E83" s="204"/>
    </row>
    <row r="84" spans="1:5" ht="14.25" customHeight="1">
      <c r="A84" s="205"/>
      <c r="B84" s="157"/>
      <c r="C84" s="69" t="s">
        <v>366</v>
      </c>
      <c r="D84" s="204"/>
      <c r="E84" s="204"/>
    </row>
    <row r="85" spans="1:5" ht="14.25" customHeight="1">
      <c r="A85" s="205"/>
      <c r="B85" s="157"/>
      <c r="C85" s="69" t="s">
        <v>374</v>
      </c>
      <c r="D85" s="204"/>
      <c r="E85" s="204"/>
    </row>
    <row r="86" spans="1:5" ht="14.25" customHeight="1">
      <c r="A86" s="205" t="s">
        <v>151</v>
      </c>
      <c r="B86" s="157" t="s">
        <v>300</v>
      </c>
      <c r="C86" s="79" t="s">
        <v>118</v>
      </c>
      <c r="D86" s="204" t="s">
        <v>377</v>
      </c>
      <c r="E86" s="204" t="s">
        <v>124</v>
      </c>
    </row>
    <row r="87" spans="1:5" ht="14.25" customHeight="1">
      <c r="A87" s="205"/>
      <c r="B87" s="157"/>
      <c r="C87" s="69" t="s">
        <v>367</v>
      </c>
      <c r="D87" s="204"/>
      <c r="E87" s="204"/>
    </row>
    <row r="88" spans="1:5" ht="14.25" customHeight="1">
      <c r="A88" s="205"/>
      <c r="B88" s="157"/>
      <c r="C88" s="69" t="s">
        <v>373</v>
      </c>
      <c r="D88" s="204"/>
      <c r="E88" s="204"/>
    </row>
    <row r="89" spans="1:5" ht="14.25" customHeight="1">
      <c r="A89" s="205"/>
      <c r="B89" s="157"/>
      <c r="C89" s="69" t="s">
        <v>366</v>
      </c>
      <c r="D89" s="204"/>
      <c r="E89" s="204"/>
    </row>
    <row r="90" spans="1:5" ht="14.25" customHeight="1">
      <c r="A90" s="205"/>
      <c r="B90" s="157"/>
      <c r="C90" s="70" t="s">
        <v>374</v>
      </c>
      <c r="D90" s="204"/>
      <c r="E90" s="204"/>
    </row>
    <row r="91" spans="1:5" ht="14.25" customHeight="1">
      <c r="A91" s="203" t="s">
        <v>152</v>
      </c>
      <c r="B91" s="204" t="s">
        <v>209</v>
      </c>
      <c r="C91" s="68" t="s">
        <v>118</v>
      </c>
      <c r="D91" s="204" t="s">
        <v>215</v>
      </c>
      <c r="E91" s="204" t="s">
        <v>142</v>
      </c>
    </row>
    <row r="92" spans="1:5" ht="14.25" customHeight="1">
      <c r="A92" s="203"/>
      <c r="B92" s="204"/>
      <c r="C92" s="69" t="s">
        <v>211</v>
      </c>
      <c r="D92" s="204"/>
      <c r="E92" s="204"/>
    </row>
    <row r="93" spans="1:5" ht="14.25" customHeight="1">
      <c r="A93" s="203"/>
      <c r="B93" s="204"/>
      <c r="C93" s="69" t="s">
        <v>212</v>
      </c>
      <c r="D93" s="204"/>
      <c r="E93" s="204"/>
    </row>
    <row r="94" spans="1:5" ht="14.25" customHeight="1">
      <c r="A94" s="203"/>
      <c r="B94" s="204"/>
      <c r="C94" s="69" t="s">
        <v>213</v>
      </c>
      <c r="D94" s="204"/>
      <c r="E94" s="204"/>
    </row>
    <row r="95" spans="1:5" ht="29.25" customHeight="1">
      <c r="A95" s="203"/>
      <c r="B95" s="204"/>
      <c r="C95" s="70" t="s">
        <v>214</v>
      </c>
      <c r="D95" s="204"/>
      <c r="E95" s="204"/>
    </row>
    <row r="96" spans="1:5" ht="16.5" customHeight="1">
      <c r="A96" s="205" t="s">
        <v>153</v>
      </c>
      <c r="B96" s="157" t="s">
        <v>221</v>
      </c>
      <c r="C96" s="79" t="s">
        <v>118</v>
      </c>
      <c r="D96" s="204" t="s">
        <v>311</v>
      </c>
      <c r="E96" s="204" t="s">
        <v>378</v>
      </c>
    </row>
    <row r="97" spans="1:5" ht="16.5" customHeight="1">
      <c r="A97" s="205"/>
      <c r="B97" s="157"/>
      <c r="C97" s="69" t="s">
        <v>247</v>
      </c>
      <c r="D97" s="204"/>
      <c r="E97" s="204"/>
    </row>
    <row r="98" spans="1:5" ht="16.5" customHeight="1">
      <c r="A98" s="205"/>
      <c r="B98" s="157"/>
      <c r="C98" s="69" t="s">
        <v>245</v>
      </c>
      <c r="D98" s="204"/>
      <c r="E98" s="204"/>
    </row>
    <row r="99" spans="1:5" ht="18.75" customHeight="1">
      <c r="A99" s="205"/>
      <c r="B99" s="157"/>
      <c r="C99" s="69" t="s">
        <v>246</v>
      </c>
      <c r="D99" s="204"/>
      <c r="E99" s="204"/>
    </row>
    <row r="100" spans="1:5" ht="30" customHeight="1">
      <c r="A100" s="205"/>
      <c r="B100" s="157"/>
      <c r="C100" s="70" t="s">
        <v>248</v>
      </c>
      <c r="D100" s="204"/>
      <c r="E100" s="204"/>
    </row>
    <row r="101" spans="1:5" ht="101.25" customHeight="1">
      <c r="A101" s="151" t="s">
        <v>154</v>
      </c>
      <c r="B101" s="137" t="s">
        <v>310</v>
      </c>
      <c r="C101" s="146" t="s">
        <v>508</v>
      </c>
      <c r="D101" s="140" t="s">
        <v>125</v>
      </c>
      <c r="E101" s="140" t="s">
        <v>142</v>
      </c>
    </row>
    <row r="102" spans="1:5" ht="78.75" customHeight="1">
      <c r="A102" s="151" t="s">
        <v>155</v>
      </c>
      <c r="B102" s="141" t="s">
        <v>506</v>
      </c>
      <c r="C102" s="140" t="s">
        <v>509</v>
      </c>
      <c r="D102" s="129" t="s">
        <v>125</v>
      </c>
      <c r="E102" s="129" t="s">
        <v>142</v>
      </c>
    </row>
    <row r="103" spans="1:5" ht="15.75" customHeight="1">
      <c r="A103" s="206" t="s">
        <v>156</v>
      </c>
      <c r="B103" s="209" t="s">
        <v>516</v>
      </c>
      <c r="C103" s="79" t="s">
        <v>118</v>
      </c>
      <c r="D103" s="204" t="s">
        <v>385</v>
      </c>
      <c r="E103" s="157" t="s">
        <v>124</v>
      </c>
    </row>
    <row r="104" spans="1:5" ht="30.75" customHeight="1">
      <c r="A104" s="207"/>
      <c r="B104" s="210"/>
      <c r="C104" s="69" t="s">
        <v>380</v>
      </c>
      <c r="D104" s="204"/>
      <c r="E104" s="157"/>
    </row>
    <row r="105" spans="1:5" ht="38.25" customHeight="1">
      <c r="A105" s="207"/>
      <c r="B105" s="210"/>
      <c r="C105" s="69" t="s">
        <v>381</v>
      </c>
      <c r="D105" s="204"/>
      <c r="E105" s="157"/>
    </row>
    <row r="106" spans="1:5" ht="42.75" customHeight="1">
      <c r="A106" s="207"/>
      <c r="B106" s="210"/>
      <c r="C106" s="69" t="s">
        <v>382</v>
      </c>
      <c r="D106" s="204"/>
      <c r="E106" s="157"/>
    </row>
    <row r="107" spans="1:5" ht="40.5" customHeight="1">
      <c r="A107" s="207"/>
      <c r="B107" s="210"/>
      <c r="C107" s="69" t="s">
        <v>383</v>
      </c>
      <c r="D107" s="204"/>
      <c r="E107" s="157"/>
    </row>
    <row r="108" spans="1:5" ht="28.5" customHeight="1">
      <c r="A108" s="207"/>
      <c r="B108" s="210"/>
      <c r="C108" s="69" t="s">
        <v>233</v>
      </c>
      <c r="D108" s="204"/>
      <c r="E108" s="157"/>
    </row>
    <row r="109" spans="1:5" ht="30.75" customHeight="1">
      <c r="A109" s="208"/>
      <c r="B109" s="211"/>
      <c r="C109" s="70" t="s">
        <v>384</v>
      </c>
      <c r="D109" s="204"/>
      <c r="E109" s="157"/>
    </row>
    <row r="110" spans="1:5" ht="16.5" customHeight="1">
      <c r="A110" s="205" t="s">
        <v>157</v>
      </c>
      <c r="B110" s="157" t="s">
        <v>517</v>
      </c>
      <c r="C110" s="52" t="s">
        <v>135</v>
      </c>
      <c r="D110" s="157" t="s">
        <v>388</v>
      </c>
      <c r="E110" s="157" t="s">
        <v>126</v>
      </c>
    </row>
    <row r="111" spans="1:5" ht="16.5" customHeight="1">
      <c r="A111" s="205"/>
      <c r="B111" s="157"/>
      <c r="C111" s="92" t="s">
        <v>386</v>
      </c>
      <c r="D111" s="157"/>
      <c r="E111" s="157"/>
    </row>
    <row r="112" spans="1:5" ht="42.75" customHeight="1">
      <c r="A112" s="205"/>
      <c r="B112" s="157"/>
      <c r="C112" s="92" t="s">
        <v>387</v>
      </c>
      <c r="D112" s="157"/>
      <c r="E112" s="157"/>
    </row>
    <row r="113" spans="1:12" ht="27" customHeight="1">
      <c r="A113" s="205"/>
      <c r="B113" s="157"/>
      <c r="C113" s="80" t="s">
        <v>231</v>
      </c>
      <c r="D113" s="157"/>
      <c r="E113" s="157"/>
    </row>
    <row r="114" spans="1:12" ht="33" customHeight="1">
      <c r="A114" s="205"/>
      <c r="B114" s="157"/>
      <c r="C114" s="81" t="s">
        <v>232</v>
      </c>
      <c r="D114" s="157"/>
      <c r="E114" s="157"/>
    </row>
    <row r="115" spans="1:12" ht="306" customHeight="1">
      <c r="A115" s="151" t="s">
        <v>158</v>
      </c>
      <c r="B115" s="137" t="s">
        <v>505</v>
      </c>
      <c r="C115" s="139" t="s">
        <v>512</v>
      </c>
      <c r="D115" s="137" t="s">
        <v>125</v>
      </c>
      <c r="E115" s="137" t="s">
        <v>124</v>
      </c>
    </row>
    <row r="116" spans="1:12" ht="17.25" customHeight="1">
      <c r="A116" s="205" t="s">
        <v>159</v>
      </c>
      <c r="B116" s="157" t="s">
        <v>399</v>
      </c>
      <c r="C116" s="57" t="s">
        <v>118</v>
      </c>
      <c r="D116" s="157" t="s">
        <v>125</v>
      </c>
      <c r="E116" s="157" t="s">
        <v>124</v>
      </c>
      <c r="I116" s="8" t="s">
        <v>416</v>
      </c>
      <c r="J116" s="8" t="s">
        <v>417</v>
      </c>
      <c r="K116" s="8" t="s">
        <v>418</v>
      </c>
      <c r="L116" s="8" t="s">
        <v>419</v>
      </c>
    </row>
    <row r="117" spans="1:12" ht="17.25" customHeight="1">
      <c r="A117" s="205"/>
      <c r="B117" s="157"/>
      <c r="C117" s="127" t="s">
        <v>404</v>
      </c>
      <c r="D117" s="157"/>
      <c r="E117" s="157"/>
      <c r="F117" s="8" t="s">
        <v>414</v>
      </c>
      <c r="I117" s="8" t="s">
        <v>420</v>
      </c>
      <c r="J117" s="8" t="s">
        <v>420</v>
      </c>
      <c r="K117" s="8" t="s">
        <v>421</v>
      </c>
      <c r="L117" s="8" t="s">
        <v>46</v>
      </c>
    </row>
    <row r="118" spans="1:12" ht="15.75" customHeight="1">
      <c r="A118" s="205"/>
      <c r="B118" s="157"/>
      <c r="C118" s="127" t="s">
        <v>405</v>
      </c>
      <c r="D118" s="157"/>
      <c r="E118" s="157"/>
      <c r="F118" s="8" t="s">
        <v>415</v>
      </c>
      <c r="I118" s="8" t="s">
        <v>46</v>
      </c>
      <c r="J118" s="8" t="s">
        <v>46</v>
      </c>
      <c r="K118" s="8" t="s">
        <v>421</v>
      </c>
      <c r="L118" s="8" t="s">
        <v>421</v>
      </c>
    </row>
    <row r="119" spans="1:12" ht="15.75" customHeight="1">
      <c r="A119" s="205"/>
      <c r="B119" s="157"/>
      <c r="C119" s="127" t="s">
        <v>406</v>
      </c>
      <c r="D119" s="157"/>
      <c r="E119" s="157"/>
    </row>
    <row r="120" spans="1:12" ht="15.75" customHeight="1">
      <c r="A120" s="205"/>
      <c r="B120" s="157"/>
      <c r="C120" s="127" t="s">
        <v>407</v>
      </c>
      <c r="D120" s="157"/>
      <c r="E120" s="157"/>
    </row>
    <row r="121" spans="1:12" ht="15.75" customHeight="1">
      <c r="A121" s="205"/>
      <c r="B121" s="157"/>
      <c r="C121" s="127" t="s">
        <v>408</v>
      </c>
      <c r="D121" s="157"/>
      <c r="E121" s="157"/>
    </row>
    <row r="122" spans="1:12" ht="15.75" customHeight="1">
      <c r="A122" s="205"/>
      <c r="B122" s="157"/>
      <c r="C122" s="127" t="s">
        <v>409</v>
      </c>
      <c r="D122" s="157"/>
      <c r="E122" s="157"/>
    </row>
    <row r="123" spans="1:12" ht="29.25" customHeight="1">
      <c r="A123" s="205"/>
      <c r="B123" s="157"/>
      <c r="C123" s="127" t="s">
        <v>410</v>
      </c>
      <c r="D123" s="157"/>
      <c r="E123" s="157"/>
    </row>
    <row r="124" spans="1:12" ht="18.75" customHeight="1">
      <c r="A124" s="205"/>
      <c r="B124" s="157"/>
      <c r="C124" s="127" t="s">
        <v>411</v>
      </c>
      <c r="D124" s="157"/>
      <c r="E124" s="157"/>
    </row>
    <row r="125" spans="1:12" ht="18" customHeight="1">
      <c r="A125" s="205"/>
      <c r="B125" s="157"/>
      <c r="C125" s="127" t="s">
        <v>412</v>
      </c>
      <c r="D125" s="157"/>
      <c r="E125" s="157"/>
    </row>
    <row r="126" spans="1:12" ht="27.75" customHeight="1">
      <c r="A126" s="205"/>
      <c r="B126" s="157"/>
      <c r="C126" s="60" t="s">
        <v>413</v>
      </c>
      <c r="D126" s="157"/>
      <c r="E126" s="157"/>
    </row>
    <row r="127" spans="1:12" ht="68.25" customHeight="1">
      <c r="A127" s="151" t="s">
        <v>217</v>
      </c>
      <c r="B127" s="124" t="s">
        <v>400</v>
      </c>
      <c r="C127" s="124" t="s">
        <v>402</v>
      </c>
      <c r="D127" s="124" t="s">
        <v>125</v>
      </c>
      <c r="E127" s="124" t="s">
        <v>124</v>
      </c>
    </row>
    <row r="128" spans="1:12" ht="67.5" customHeight="1">
      <c r="A128" s="151" t="s">
        <v>216</v>
      </c>
      <c r="B128" s="90" t="s">
        <v>401</v>
      </c>
      <c r="C128" s="90" t="s">
        <v>403</v>
      </c>
      <c r="D128" s="90" t="s">
        <v>125</v>
      </c>
      <c r="E128" s="90" t="s">
        <v>124</v>
      </c>
    </row>
    <row r="129" spans="1:5" ht="18" customHeight="1">
      <c r="A129" s="205" t="s">
        <v>218</v>
      </c>
      <c r="B129" s="157" t="s">
        <v>110</v>
      </c>
      <c r="C129" s="43" t="s">
        <v>118</v>
      </c>
      <c r="D129" s="157" t="s">
        <v>125</v>
      </c>
      <c r="E129" s="157" t="s">
        <v>123</v>
      </c>
    </row>
    <row r="130" spans="1:5">
      <c r="A130" s="205"/>
      <c r="B130" s="157"/>
      <c r="C130" s="37" t="s">
        <v>131</v>
      </c>
      <c r="D130" s="157"/>
      <c r="E130" s="157"/>
    </row>
    <row r="131" spans="1:5" ht="25.5">
      <c r="A131" s="205"/>
      <c r="B131" s="157"/>
      <c r="C131" s="37" t="s">
        <v>132</v>
      </c>
      <c r="D131" s="157"/>
      <c r="E131" s="157"/>
    </row>
    <row r="132" spans="1:5" ht="25.5">
      <c r="A132" s="205"/>
      <c r="B132" s="157"/>
      <c r="C132" s="37" t="s">
        <v>133</v>
      </c>
      <c r="D132" s="157"/>
      <c r="E132" s="157"/>
    </row>
    <row r="133" spans="1:5" ht="25.5">
      <c r="A133" s="205"/>
      <c r="B133" s="157"/>
      <c r="C133" s="42" t="s">
        <v>134</v>
      </c>
      <c r="D133" s="157"/>
      <c r="E133" s="157"/>
    </row>
    <row r="134" spans="1:5" ht="53.25" customHeight="1">
      <c r="A134" s="151" t="s">
        <v>224</v>
      </c>
      <c r="B134" s="141" t="s">
        <v>522</v>
      </c>
      <c r="C134" s="145" t="s">
        <v>523</v>
      </c>
      <c r="D134" s="96" t="s">
        <v>424</v>
      </c>
      <c r="E134" s="55" t="s">
        <v>126</v>
      </c>
    </row>
    <row r="135" spans="1:5" ht="17.25" customHeight="1">
      <c r="A135" s="205" t="s">
        <v>442</v>
      </c>
      <c r="B135" s="157" t="s">
        <v>136</v>
      </c>
      <c r="C135" s="58" t="s">
        <v>118</v>
      </c>
      <c r="D135" s="157" t="s">
        <v>125</v>
      </c>
      <c r="E135" s="157" t="s">
        <v>124</v>
      </c>
    </row>
    <row r="136" spans="1:5" ht="17.25" customHeight="1">
      <c r="A136" s="205"/>
      <c r="B136" s="157"/>
      <c r="C136" s="44" t="s">
        <v>137</v>
      </c>
      <c r="D136" s="157"/>
      <c r="E136" s="157"/>
    </row>
    <row r="137" spans="1:5" ht="17.25" customHeight="1">
      <c r="A137" s="205"/>
      <c r="B137" s="157"/>
      <c r="C137" s="44" t="s">
        <v>197</v>
      </c>
      <c r="D137" s="157"/>
      <c r="E137" s="157"/>
    </row>
    <row r="138" spans="1:5" ht="17.25" customHeight="1">
      <c r="A138" s="205"/>
      <c r="B138" s="157"/>
      <c r="C138" s="44" t="s">
        <v>198</v>
      </c>
      <c r="D138" s="157"/>
      <c r="E138" s="157"/>
    </row>
    <row r="139" spans="1:5" ht="30.75" customHeight="1">
      <c r="A139" s="205"/>
      <c r="B139" s="157"/>
      <c r="C139" s="60" t="s">
        <v>138</v>
      </c>
      <c r="D139" s="157"/>
      <c r="E139" s="157"/>
    </row>
    <row r="140" spans="1:5" ht="17.25" customHeight="1">
      <c r="A140" s="206" t="s">
        <v>443</v>
      </c>
      <c r="B140" s="213" t="s">
        <v>195</v>
      </c>
      <c r="C140" s="57" t="s">
        <v>118</v>
      </c>
      <c r="D140" s="157" t="s">
        <v>125</v>
      </c>
      <c r="E140" s="157" t="s">
        <v>124</v>
      </c>
    </row>
    <row r="141" spans="1:5" ht="17.25" customHeight="1">
      <c r="A141" s="207"/>
      <c r="B141" s="216"/>
      <c r="C141" s="41" t="s">
        <v>137</v>
      </c>
      <c r="D141" s="157"/>
      <c r="E141" s="157"/>
    </row>
    <row r="142" spans="1:5" ht="17.25" customHeight="1">
      <c r="A142" s="207"/>
      <c r="B142" s="216"/>
      <c r="C142" s="41" t="s">
        <v>197</v>
      </c>
      <c r="D142" s="157"/>
      <c r="E142" s="157"/>
    </row>
    <row r="143" spans="1:5" ht="18.75" customHeight="1">
      <c r="A143" s="207"/>
      <c r="B143" s="216"/>
      <c r="C143" s="41" t="s">
        <v>198</v>
      </c>
      <c r="D143" s="157"/>
      <c r="E143" s="157"/>
    </row>
    <row r="144" spans="1:5" ht="39.75" customHeight="1">
      <c r="A144" s="208"/>
      <c r="B144" s="223"/>
      <c r="C144" s="66" t="s">
        <v>196</v>
      </c>
      <c r="D144" s="157"/>
      <c r="E144" s="157"/>
    </row>
    <row r="145" spans="1:5">
      <c r="A145" s="205" t="s">
        <v>482</v>
      </c>
      <c r="B145" s="157" t="s">
        <v>111</v>
      </c>
      <c r="C145" s="43" t="s">
        <v>118</v>
      </c>
      <c r="D145" s="157" t="s">
        <v>125</v>
      </c>
      <c r="E145" s="157" t="s">
        <v>124</v>
      </c>
    </row>
    <row r="146" spans="1:5">
      <c r="A146" s="205"/>
      <c r="B146" s="157"/>
      <c r="C146" s="44" t="s">
        <v>137</v>
      </c>
      <c r="D146" s="157"/>
      <c r="E146" s="157"/>
    </row>
    <row r="147" spans="1:5" ht="18" customHeight="1">
      <c r="A147" s="205"/>
      <c r="B147" s="157"/>
      <c r="C147" s="44" t="s">
        <v>139</v>
      </c>
      <c r="D147" s="157"/>
      <c r="E147" s="157"/>
    </row>
    <row r="148" spans="1:5" ht="25.5">
      <c r="A148" s="205"/>
      <c r="B148" s="157"/>
      <c r="C148" s="44" t="s">
        <v>140</v>
      </c>
      <c r="D148" s="157"/>
      <c r="E148" s="157"/>
    </row>
    <row r="149" spans="1:5" ht="26.25" customHeight="1">
      <c r="A149" s="205"/>
      <c r="B149" s="157"/>
      <c r="C149" s="42" t="s">
        <v>141</v>
      </c>
      <c r="D149" s="157"/>
      <c r="E149" s="157"/>
    </row>
    <row r="150" spans="1:5" ht="319.5" customHeight="1">
      <c r="A150" s="151" t="s">
        <v>483</v>
      </c>
      <c r="B150" s="137" t="s">
        <v>503</v>
      </c>
      <c r="C150" s="44" t="s">
        <v>513</v>
      </c>
      <c r="D150" s="137" t="s">
        <v>125</v>
      </c>
      <c r="E150" s="137" t="s">
        <v>124</v>
      </c>
    </row>
    <row r="151" spans="1:5" ht="17.25" customHeight="1">
      <c r="A151" s="205" t="s">
        <v>510</v>
      </c>
      <c r="B151" s="230" t="s">
        <v>328</v>
      </c>
      <c r="C151" s="68" t="s">
        <v>118</v>
      </c>
      <c r="D151" s="204" t="s">
        <v>389</v>
      </c>
      <c r="E151" s="204" t="s">
        <v>142</v>
      </c>
    </row>
    <row r="152" spans="1:5" ht="43.5" customHeight="1">
      <c r="A152" s="205"/>
      <c r="B152" s="230"/>
      <c r="C152" s="69"/>
      <c r="D152" s="204"/>
      <c r="E152" s="204"/>
    </row>
    <row r="153" spans="1:5">
      <c r="A153" s="205"/>
      <c r="B153" s="230"/>
      <c r="C153" s="69" t="s">
        <v>390</v>
      </c>
      <c r="D153" s="204"/>
      <c r="E153" s="204"/>
    </row>
    <row r="154" spans="1:5">
      <c r="A154" s="205"/>
      <c r="B154" s="230"/>
      <c r="C154" s="69" t="s">
        <v>391</v>
      </c>
      <c r="D154" s="204"/>
      <c r="E154" s="204"/>
    </row>
    <row r="155" spans="1:5">
      <c r="A155" s="205"/>
      <c r="B155" s="230"/>
      <c r="C155" s="70" t="s">
        <v>446</v>
      </c>
      <c r="D155" s="204"/>
      <c r="E155" s="204"/>
    </row>
    <row r="156" spans="1:5" ht="25.5">
      <c r="A156" s="205" t="s">
        <v>511</v>
      </c>
      <c r="B156" s="230" t="s">
        <v>426</v>
      </c>
      <c r="C156" s="119" t="s">
        <v>429</v>
      </c>
      <c r="D156" s="157" t="s">
        <v>430</v>
      </c>
      <c r="E156" s="157" t="s">
        <v>124</v>
      </c>
    </row>
    <row r="157" spans="1:5">
      <c r="A157" s="205"/>
      <c r="B157" s="230"/>
      <c r="C157" s="120" t="s">
        <v>431</v>
      </c>
      <c r="D157" s="157"/>
      <c r="E157" s="157"/>
    </row>
    <row r="158" spans="1:5" ht="25.5">
      <c r="A158" s="205"/>
      <c r="B158" s="230"/>
      <c r="C158" s="120" t="s">
        <v>432</v>
      </c>
      <c r="D158" s="157"/>
      <c r="E158" s="157"/>
    </row>
    <row r="159" spans="1:5">
      <c r="A159" s="205"/>
      <c r="B159" s="230"/>
      <c r="C159" s="120" t="s">
        <v>433</v>
      </c>
      <c r="D159" s="157"/>
      <c r="E159" s="157"/>
    </row>
    <row r="160" spans="1:5">
      <c r="A160" s="205"/>
      <c r="B160" s="230"/>
      <c r="C160" s="120" t="s">
        <v>434</v>
      </c>
      <c r="D160" s="157"/>
      <c r="E160" s="157"/>
    </row>
    <row r="161" spans="1:5" ht="76.5" customHeight="1">
      <c r="A161" s="205"/>
      <c r="B161" s="230"/>
      <c r="C161" s="121" t="s">
        <v>435</v>
      </c>
      <c r="D161" s="157"/>
      <c r="E161" s="157"/>
    </row>
    <row r="162" spans="1:5" ht="25.5">
      <c r="A162" s="205" t="s">
        <v>530</v>
      </c>
      <c r="B162" s="230" t="s">
        <v>427</v>
      </c>
      <c r="C162" s="119" t="s">
        <v>436</v>
      </c>
      <c r="D162" s="157" t="s">
        <v>437</v>
      </c>
      <c r="E162" s="157" t="s">
        <v>142</v>
      </c>
    </row>
    <row r="163" spans="1:5">
      <c r="A163" s="205"/>
      <c r="B163" s="230"/>
      <c r="C163" s="120" t="s">
        <v>438</v>
      </c>
      <c r="D163" s="157"/>
      <c r="E163" s="157"/>
    </row>
    <row r="164" spans="1:5">
      <c r="A164" s="205"/>
      <c r="B164" s="230"/>
      <c r="C164" s="120" t="s">
        <v>439</v>
      </c>
      <c r="D164" s="157"/>
      <c r="E164" s="157"/>
    </row>
    <row r="165" spans="1:5">
      <c r="A165" s="205"/>
      <c r="B165" s="230"/>
      <c r="C165" s="120" t="s">
        <v>440</v>
      </c>
      <c r="D165" s="157"/>
      <c r="E165" s="157"/>
    </row>
    <row r="166" spans="1:5" ht="31.5" customHeight="1">
      <c r="A166" s="205"/>
      <c r="B166" s="230"/>
      <c r="C166" s="121" t="s">
        <v>441</v>
      </c>
      <c r="D166" s="157"/>
      <c r="E166" s="157"/>
    </row>
  </sheetData>
  <mergeCells count="111">
    <mergeCell ref="A156:A161"/>
    <mergeCell ref="B156:B161"/>
    <mergeCell ref="D156:D161"/>
    <mergeCell ref="E156:E161"/>
    <mergeCell ref="A40:A44"/>
    <mergeCell ref="B30:B34"/>
    <mergeCell ref="D40:D44"/>
    <mergeCell ref="D19:D24"/>
    <mergeCell ref="A162:A166"/>
    <mergeCell ref="B162:B166"/>
    <mergeCell ref="D162:D166"/>
    <mergeCell ref="E162:E166"/>
    <mergeCell ref="E30:E34"/>
    <mergeCell ref="B35:B39"/>
    <mergeCell ref="D35:D39"/>
    <mergeCell ref="E35:E39"/>
    <mergeCell ref="D50:D54"/>
    <mergeCell ref="D151:D155"/>
    <mergeCell ref="E151:E155"/>
    <mergeCell ref="A129:A133"/>
    <mergeCell ref="D135:D139"/>
    <mergeCell ref="A140:A144"/>
    <mergeCell ref="B145:B149"/>
    <mergeCell ref="A135:A139"/>
    <mergeCell ref="B140:B144"/>
    <mergeCell ref="A151:A155"/>
    <mergeCell ref="B151:B155"/>
    <mergeCell ref="A145:A149"/>
    <mergeCell ref="B129:B133"/>
    <mergeCell ref="B76:B80"/>
    <mergeCell ref="D76:D80"/>
    <mergeCell ref="E145:E149"/>
    <mergeCell ref="D145:D149"/>
    <mergeCell ref="E140:E144"/>
    <mergeCell ref="E135:E139"/>
    <mergeCell ref="B135:B139"/>
    <mergeCell ref="D140:D144"/>
    <mergeCell ref="A86:A90"/>
    <mergeCell ref="B86:B90"/>
    <mergeCell ref="D86:D90"/>
    <mergeCell ref="E86:E90"/>
    <mergeCell ref="A91:A95"/>
    <mergeCell ref="B91:B95"/>
    <mergeCell ref="D91:D95"/>
    <mergeCell ref="E91:E95"/>
    <mergeCell ref="A116:A126"/>
    <mergeCell ref="B116:B126"/>
    <mergeCell ref="D116:D126"/>
    <mergeCell ref="A1:E1"/>
    <mergeCell ref="A3:E3"/>
    <mergeCell ref="A4:E4"/>
    <mergeCell ref="D129:D133"/>
    <mergeCell ref="E129:E133"/>
    <mergeCell ref="A110:A114"/>
    <mergeCell ref="E50:E54"/>
    <mergeCell ref="A66:A70"/>
    <mergeCell ref="B96:B100"/>
    <mergeCell ref="D96:D100"/>
    <mergeCell ref="D30:D34"/>
    <mergeCell ref="E66:E70"/>
    <mergeCell ref="A71:A75"/>
    <mergeCell ref="B71:B75"/>
    <mergeCell ref="D71:D75"/>
    <mergeCell ref="E71:E75"/>
    <mergeCell ref="B40:B44"/>
    <mergeCell ref="A30:A34"/>
    <mergeCell ref="B66:B70"/>
    <mergeCell ref="D66:D70"/>
    <mergeCell ref="E40:E44"/>
    <mergeCell ref="A13:A18"/>
    <mergeCell ref="B13:B18"/>
    <mergeCell ref="E13:E18"/>
    <mergeCell ref="D8:D12"/>
    <mergeCell ref="E8:E12"/>
    <mergeCell ref="A50:A54"/>
    <mergeCell ref="B50:B54"/>
    <mergeCell ref="A8:A12"/>
    <mergeCell ref="B8:B12"/>
    <mergeCell ref="A45:A49"/>
    <mergeCell ref="B45:B49"/>
    <mergeCell ref="D45:D49"/>
    <mergeCell ref="E45:E49"/>
    <mergeCell ref="D13:D18"/>
    <mergeCell ref="A35:A39"/>
    <mergeCell ref="E19:E24"/>
    <mergeCell ref="A25:A29"/>
    <mergeCell ref="A19:A24"/>
    <mergeCell ref="B19:B24"/>
    <mergeCell ref="B25:B29"/>
    <mergeCell ref="D25:D29"/>
    <mergeCell ref="E25:E29"/>
    <mergeCell ref="E116:E126"/>
    <mergeCell ref="E110:E114"/>
    <mergeCell ref="D110:D114"/>
    <mergeCell ref="E96:E100"/>
    <mergeCell ref="B110:B114"/>
    <mergeCell ref="A103:A109"/>
    <mergeCell ref="B103:B109"/>
    <mergeCell ref="D103:D109"/>
    <mergeCell ref="E103:E109"/>
    <mergeCell ref="A96:A100"/>
    <mergeCell ref="A55:A59"/>
    <mergeCell ref="B55:B59"/>
    <mergeCell ref="D55:D59"/>
    <mergeCell ref="E55:E59"/>
    <mergeCell ref="A81:A85"/>
    <mergeCell ref="B81:B85"/>
    <mergeCell ref="D81:D85"/>
    <mergeCell ref="E81:E85"/>
    <mergeCell ref="E76:E80"/>
    <mergeCell ref="A76:A80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69" orientation="landscape" verticalDpi="0" r:id="rId1"/>
  <rowBreaks count="7" manualBreakCount="7">
    <brk id="34" max="4" man="1"/>
    <brk id="60" max="4" man="1"/>
    <brk id="80" max="4" man="1"/>
    <brk id="102" max="4" man="1"/>
    <brk id="115" max="4" man="1"/>
    <brk id="139" max="4" man="1"/>
    <brk id="155" max="4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K125"/>
  <sheetViews>
    <sheetView tabSelected="1" view="pageBreakPreview" zoomScale="80" zoomScaleNormal="80" zoomScaleSheetLayoutView="80" workbookViewId="0">
      <selection activeCell="B115" sqref="B115:B120"/>
    </sheetView>
  </sheetViews>
  <sheetFormatPr defaultColWidth="8.85546875" defaultRowHeight="15"/>
  <cols>
    <col min="1" max="1" width="38" style="8" customWidth="1"/>
    <col min="2" max="2" width="29.85546875" style="8" customWidth="1"/>
    <col min="3" max="3" width="41.140625" style="8" customWidth="1"/>
    <col min="4" max="4" width="7.7109375" style="8" customWidth="1"/>
    <col min="5" max="5" width="25.42578125" style="8" customWidth="1"/>
    <col min="6" max="6" width="25.7109375" style="8" customWidth="1"/>
    <col min="7" max="7" width="10.85546875" style="8" bestFit="1" customWidth="1"/>
    <col min="8" max="16384" width="8.85546875" style="8"/>
  </cols>
  <sheetData>
    <row r="1" spans="1:11" s="16" customFormat="1" ht="15.75">
      <c r="A1" s="224" t="s">
        <v>70</v>
      </c>
      <c r="B1" s="159"/>
      <c r="C1" s="159"/>
      <c r="D1" s="159"/>
      <c r="E1" s="159"/>
      <c r="F1" s="159"/>
    </row>
    <row r="2" spans="1:11" ht="15.75">
      <c r="A2" s="15"/>
      <c r="E2" s="9"/>
    </row>
    <row r="3" spans="1:11" ht="15.75" customHeight="1">
      <c r="A3" s="158" t="s">
        <v>57</v>
      </c>
      <c r="B3" s="159"/>
      <c r="C3" s="159"/>
      <c r="D3" s="159"/>
      <c r="E3" s="159"/>
      <c r="F3" s="159"/>
    </row>
    <row r="4" spans="1:11" ht="15.75" customHeight="1">
      <c r="A4" s="228" t="s">
        <v>75</v>
      </c>
      <c r="B4" s="231"/>
      <c r="C4" s="231"/>
      <c r="D4" s="231"/>
      <c r="E4" s="231"/>
      <c r="F4" s="231"/>
      <c r="G4" s="17"/>
      <c r="H4" s="17"/>
      <c r="I4" s="17"/>
      <c r="J4" s="17"/>
      <c r="K4" s="17"/>
    </row>
    <row r="5" spans="1:11">
      <c r="A5" s="10"/>
      <c r="E5" s="9"/>
    </row>
    <row r="6" spans="1:11" ht="51.75" customHeight="1">
      <c r="A6" s="5" t="s">
        <v>58</v>
      </c>
      <c r="B6" s="5" t="s">
        <v>59</v>
      </c>
      <c r="C6" s="46" t="s">
        <v>60</v>
      </c>
      <c r="D6" s="205" t="s">
        <v>61</v>
      </c>
      <c r="E6" s="205"/>
      <c r="F6" s="5" t="s">
        <v>62</v>
      </c>
      <c r="I6" s="49" t="s">
        <v>168</v>
      </c>
    </row>
    <row r="7" spans="1:11">
      <c r="A7" s="157" t="s">
        <v>207</v>
      </c>
      <c r="B7" s="232" t="s">
        <v>71</v>
      </c>
      <c r="C7" s="47" t="s">
        <v>163</v>
      </c>
      <c r="D7" s="50" t="s">
        <v>63</v>
      </c>
      <c r="E7" s="26">
        <f>SUM(E8:E12)</f>
        <v>12542.05</v>
      </c>
      <c r="F7" s="233">
        <v>0</v>
      </c>
    </row>
    <row r="8" spans="1:11">
      <c r="A8" s="157"/>
      <c r="B8" s="232"/>
      <c r="C8" s="37" t="s">
        <v>164</v>
      </c>
      <c r="D8" s="21" t="s">
        <v>64</v>
      </c>
      <c r="E8" s="28">
        <f>'Приложение 1'!G13</f>
        <v>2158.65</v>
      </c>
      <c r="F8" s="233"/>
    </row>
    <row r="9" spans="1:11">
      <c r="A9" s="157"/>
      <c r="B9" s="232"/>
      <c r="C9" s="37" t="s">
        <v>165</v>
      </c>
      <c r="D9" s="21" t="s">
        <v>65</v>
      </c>
      <c r="E9" s="28">
        <f>'Приложение 1'!H13</f>
        <v>1933.4</v>
      </c>
      <c r="F9" s="233"/>
    </row>
    <row r="10" spans="1:11" ht="16.5" customHeight="1">
      <c r="A10" s="157"/>
      <c r="B10" s="232"/>
      <c r="C10" s="37" t="s">
        <v>166</v>
      </c>
      <c r="D10" s="21" t="s">
        <v>66</v>
      </c>
      <c r="E10" s="28">
        <f>'Приложение 1'!I13</f>
        <v>2450</v>
      </c>
      <c r="F10" s="233"/>
    </row>
    <row r="11" spans="1:11">
      <c r="A11" s="157"/>
      <c r="B11" s="232"/>
      <c r="C11" s="37" t="s">
        <v>167</v>
      </c>
      <c r="D11" s="21" t="s">
        <v>67</v>
      </c>
      <c r="E11" s="28">
        <f>'Приложение 1'!J13</f>
        <v>3000</v>
      </c>
      <c r="F11" s="233"/>
    </row>
    <row r="12" spans="1:11" ht="25.5">
      <c r="A12" s="157"/>
      <c r="B12" s="232"/>
      <c r="C12" s="37" t="s">
        <v>187</v>
      </c>
      <c r="D12" s="51" t="s">
        <v>68</v>
      </c>
      <c r="E12" s="30">
        <f>'Приложение 1'!K13</f>
        <v>3000</v>
      </c>
      <c r="F12" s="233"/>
      <c r="H12" s="8" t="s">
        <v>173</v>
      </c>
    </row>
    <row r="13" spans="1:11">
      <c r="A13" s="213" t="s">
        <v>340</v>
      </c>
      <c r="B13" s="157" t="s">
        <v>5</v>
      </c>
      <c r="C13" s="213" t="s">
        <v>341</v>
      </c>
      <c r="D13" s="25" t="s">
        <v>63</v>
      </c>
      <c r="E13" s="26">
        <f>SUM(E14:E18)</f>
        <v>4707.2954599999994</v>
      </c>
      <c r="F13" s="233">
        <v>0</v>
      </c>
      <c r="G13" s="64"/>
    </row>
    <row r="14" spans="1:11">
      <c r="A14" s="216"/>
      <c r="B14" s="157"/>
      <c r="C14" s="216"/>
      <c r="D14" s="27" t="s">
        <v>64</v>
      </c>
      <c r="E14" s="28">
        <f>'Приложение 1'!G36</f>
        <v>642.86</v>
      </c>
      <c r="F14" s="233"/>
    </row>
    <row r="15" spans="1:11">
      <c r="A15" s="216"/>
      <c r="B15" s="157"/>
      <c r="C15" s="216"/>
      <c r="D15" s="27" t="s">
        <v>65</v>
      </c>
      <c r="E15" s="28">
        <f>'Приложение 1'!H36</f>
        <v>3994.4354599999997</v>
      </c>
      <c r="F15" s="233"/>
    </row>
    <row r="16" spans="1:11">
      <c r="A16" s="216"/>
      <c r="B16" s="157"/>
      <c r="C16" s="216"/>
      <c r="D16" s="27" t="s">
        <v>66</v>
      </c>
      <c r="E16" s="28">
        <f>'Приложение 1'!I36</f>
        <v>70</v>
      </c>
      <c r="F16" s="233"/>
    </row>
    <row r="17" spans="1:6">
      <c r="A17" s="216"/>
      <c r="B17" s="157"/>
      <c r="C17" s="216"/>
      <c r="D17" s="27" t="s">
        <v>67</v>
      </c>
      <c r="E17" s="28">
        <f>'Приложение 1'!J36</f>
        <v>0</v>
      </c>
      <c r="F17" s="233"/>
    </row>
    <row r="18" spans="1:6">
      <c r="A18" s="216"/>
      <c r="B18" s="157"/>
      <c r="C18" s="216"/>
      <c r="D18" s="29" t="s">
        <v>68</v>
      </c>
      <c r="E18" s="30">
        <f>'Приложение 1'!K36</f>
        <v>0</v>
      </c>
      <c r="F18" s="233"/>
    </row>
    <row r="19" spans="1:6">
      <c r="A19" s="216"/>
      <c r="B19" s="157" t="s">
        <v>71</v>
      </c>
      <c r="C19" s="216"/>
      <c r="D19" s="25" t="s">
        <v>63</v>
      </c>
      <c r="E19" s="26">
        <f>SUM(E20:E24)</f>
        <v>204218.07259999998</v>
      </c>
      <c r="F19" s="233">
        <v>0</v>
      </c>
    </row>
    <row r="20" spans="1:6">
      <c r="A20" s="216"/>
      <c r="B20" s="157"/>
      <c r="C20" s="216"/>
      <c r="D20" s="27" t="s">
        <v>64</v>
      </c>
      <c r="E20" s="28">
        <f>'Приложение 1'!G37</f>
        <v>39786.839999999997</v>
      </c>
      <c r="F20" s="233"/>
    </row>
    <row r="21" spans="1:6">
      <c r="A21" s="216"/>
      <c r="B21" s="157"/>
      <c r="C21" s="216"/>
      <c r="D21" s="27" t="s">
        <v>65</v>
      </c>
      <c r="E21" s="28">
        <f>'Приложение 1'!H37</f>
        <v>35658.0026</v>
      </c>
      <c r="F21" s="233"/>
    </row>
    <row r="22" spans="1:6">
      <c r="A22" s="216"/>
      <c r="B22" s="157"/>
      <c r="C22" s="216"/>
      <c r="D22" s="27" t="s">
        <v>66</v>
      </c>
      <c r="E22" s="28">
        <f>'Приложение 1'!I37</f>
        <v>42924.43</v>
      </c>
      <c r="F22" s="233"/>
    </row>
    <row r="23" spans="1:6">
      <c r="A23" s="216"/>
      <c r="B23" s="157"/>
      <c r="C23" s="216"/>
      <c r="D23" s="27" t="s">
        <v>67</v>
      </c>
      <c r="E23" s="28">
        <f>'Приложение 1'!J37</f>
        <v>42924.4</v>
      </c>
      <c r="F23" s="233"/>
    </row>
    <row r="24" spans="1:6">
      <c r="A24" s="216"/>
      <c r="B24" s="157"/>
      <c r="C24" s="216"/>
      <c r="D24" s="29" t="s">
        <v>68</v>
      </c>
      <c r="E24" s="30">
        <f>'Приложение 1'!K37</f>
        <v>42924.4</v>
      </c>
      <c r="F24" s="233"/>
    </row>
    <row r="25" spans="1:6">
      <c r="A25" s="216"/>
      <c r="B25" s="157" t="s">
        <v>25</v>
      </c>
      <c r="C25" s="216"/>
      <c r="D25" s="32" t="s">
        <v>63</v>
      </c>
      <c r="E25" s="26">
        <f>SUM(E26:E30)</f>
        <v>174732.18999999997</v>
      </c>
      <c r="F25" s="233">
        <v>0</v>
      </c>
    </row>
    <row r="26" spans="1:6">
      <c r="A26" s="216"/>
      <c r="B26" s="157"/>
      <c r="C26" s="216"/>
      <c r="D26" s="33" t="s">
        <v>64</v>
      </c>
      <c r="E26" s="28">
        <f>'Приложение 1'!G38</f>
        <v>26419.89</v>
      </c>
      <c r="F26" s="233"/>
    </row>
    <row r="27" spans="1:6">
      <c r="A27" s="216"/>
      <c r="B27" s="157"/>
      <c r="C27" s="216"/>
      <c r="D27" s="33" t="s">
        <v>65</v>
      </c>
      <c r="E27" s="28">
        <f>'Приложение 1'!H38</f>
        <v>30048.567999999999</v>
      </c>
      <c r="F27" s="233"/>
    </row>
    <row r="28" spans="1:6">
      <c r="A28" s="216"/>
      <c r="B28" s="157"/>
      <c r="C28" s="216"/>
      <c r="D28" s="33" t="s">
        <v>66</v>
      </c>
      <c r="E28" s="28">
        <f>'Приложение 1'!I38</f>
        <v>37426.752</v>
      </c>
      <c r="F28" s="233"/>
    </row>
    <row r="29" spans="1:6">
      <c r="A29" s="216"/>
      <c r="B29" s="157"/>
      <c r="C29" s="216"/>
      <c r="D29" s="33" t="s">
        <v>67</v>
      </c>
      <c r="E29" s="28">
        <f>'Приложение 1'!J38</f>
        <v>40418.49</v>
      </c>
      <c r="F29" s="233"/>
    </row>
    <row r="30" spans="1:6">
      <c r="A30" s="216"/>
      <c r="B30" s="157"/>
      <c r="C30" s="216"/>
      <c r="D30" s="34" t="s">
        <v>68</v>
      </c>
      <c r="E30" s="30">
        <f>'Приложение 1'!K38</f>
        <v>40418.49</v>
      </c>
      <c r="F30" s="233"/>
    </row>
    <row r="31" spans="1:6">
      <c r="A31" s="214"/>
      <c r="B31" s="157" t="s">
        <v>24</v>
      </c>
      <c r="C31" s="214"/>
      <c r="D31" s="32" t="s">
        <v>63</v>
      </c>
      <c r="E31" s="26">
        <f>SUM(E32:E36)</f>
        <v>350</v>
      </c>
      <c r="F31" s="233">
        <v>0</v>
      </c>
    </row>
    <row r="32" spans="1:6">
      <c r="A32" s="214"/>
      <c r="B32" s="157"/>
      <c r="C32" s="214"/>
      <c r="D32" s="33" t="s">
        <v>64</v>
      </c>
      <c r="E32" s="28">
        <f>'Приложение 1'!G35</f>
        <v>0</v>
      </c>
      <c r="F32" s="233"/>
    </row>
    <row r="33" spans="1:6">
      <c r="A33" s="214"/>
      <c r="B33" s="157"/>
      <c r="C33" s="214"/>
      <c r="D33" s="33" t="s">
        <v>65</v>
      </c>
      <c r="E33" s="28">
        <f>'Приложение 1'!H35</f>
        <v>300</v>
      </c>
      <c r="F33" s="233"/>
    </row>
    <row r="34" spans="1:6">
      <c r="A34" s="214"/>
      <c r="B34" s="157"/>
      <c r="C34" s="214"/>
      <c r="D34" s="33" t="s">
        <v>66</v>
      </c>
      <c r="E34" s="28">
        <f>'Приложение 1'!I35</f>
        <v>50</v>
      </c>
      <c r="F34" s="233"/>
    </row>
    <row r="35" spans="1:6">
      <c r="A35" s="214"/>
      <c r="B35" s="157"/>
      <c r="C35" s="214"/>
      <c r="D35" s="33" t="s">
        <v>67</v>
      </c>
      <c r="E35" s="28">
        <f>'Приложение 1'!J35</f>
        <v>0</v>
      </c>
      <c r="F35" s="233"/>
    </row>
    <row r="36" spans="1:6">
      <c r="A36" s="217"/>
      <c r="B36" s="157"/>
      <c r="C36" s="217"/>
      <c r="D36" s="34" t="s">
        <v>68</v>
      </c>
      <c r="E36" s="30">
        <f>'Приложение 1'!K35</f>
        <v>0</v>
      </c>
      <c r="F36" s="233"/>
    </row>
    <row r="37" spans="1:6">
      <c r="A37" s="157" t="s">
        <v>208</v>
      </c>
      <c r="B37" s="232" t="s">
        <v>71</v>
      </c>
      <c r="C37" s="47" t="s">
        <v>169</v>
      </c>
      <c r="D37" s="50" t="s">
        <v>63</v>
      </c>
      <c r="E37" s="26">
        <f>SUM(E38:E42)</f>
        <v>2000</v>
      </c>
      <c r="F37" s="233">
        <v>0</v>
      </c>
    </row>
    <row r="38" spans="1:6" ht="15" customHeight="1">
      <c r="A38" s="157"/>
      <c r="B38" s="232"/>
      <c r="C38" s="37" t="s">
        <v>170</v>
      </c>
      <c r="D38" s="21" t="s">
        <v>64</v>
      </c>
      <c r="E38" s="28">
        <f>'Приложение 1'!G73</f>
        <v>400</v>
      </c>
      <c r="F38" s="233"/>
    </row>
    <row r="39" spans="1:6" ht="15.75" customHeight="1">
      <c r="A39" s="157"/>
      <c r="B39" s="232"/>
      <c r="C39" s="37" t="s">
        <v>171</v>
      </c>
      <c r="D39" s="21" t="s">
        <v>65</v>
      </c>
      <c r="E39" s="28">
        <f>'Приложение 1'!H73</f>
        <v>400</v>
      </c>
      <c r="F39" s="233"/>
    </row>
    <row r="40" spans="1:6">
      <c r="A40" s="157"/>
      <c r="B40" s="232"/>
      <c r="C40" s="37" t="s">
        <v>172</v>
      </c>
      <c r="D40" s="21" t="s">
        <v>66</v>
      </c>
      <c r="E40" s="28">
        <f>'Приложение 1'!I73</f>
        <v>400</v>
      </c>
      <c r="F40" s="233"/>
    </row>
    <row r="41" spans="1:6">
      <c r="A41" s="157"/>
      <c r="B41" s="232"/>
      <c r="C41" s="37" t="s">
        <v>174</v>
      </c>
      <c r="D41" s="21" t="s">
        <v>67</v>
      </c>
      <c r="E41" s="28">
        <f>'Приложение 1'!J73</f>
        <v>400</v>
      </c>
      <c r="F41" s="233"/>
    </row>
    <row r="42" spans="1:6">
      <c r="A42" s="157"/>
      <c r="B42" s="232"/>
      <c r="C42" s="48"/>
      <c r="D42" s="51" t="s">
        <v>68</v>
      </c>
      <c r="E42" s="30">
        <f>'Приложение 1'!K73</f>
        <v>400</v>
      </c>
      <c r="F42" s="233"/>
    </row>
    <row r="43" spans="1:6">
      <c r="A43" s="236" t="s">
        <v>103</v>
      </c>
      <c r="B43" s="157" t="s">
        <v>5</v>
      </c>
      <c r="C43" s="223" t="s">
        <v>114</v>
      </c>
      <c r="D43" s="25" t="s">
        <v>63</v>
      </c>
      <c r="E43" s="26">
        <f>SUM(E44:E48)</f>
        <v>496.2</v>
      </c>
      <c r="F43" s="233">
        <v>0</v>
      </c>
    </row>
    <row r="44" spans="1:6">
      <c r="A44" s="236"/>
      <c r="B44" s="157"/>
      <c r="C44" s="157"/>
      <c r="D44" s="27" t="s">
        <v>64</v>
      </c>
      <c r="E44" s="28">
        <f>'Приложение 1'!G84</f>
        <v>496.2</v>
      </c>
      <c r="F44" s="233"/>
    </row>
    <row r="45" spans="1:6">
      <c r="A45" s="236"/>
      <c r="B45" s="157"/>
      <c r="C45" s="157"/>
      <c r="D45" s="27" t="s">
        <v>65</v>
      </c>
      <c r="E45" s="28" t="str">
        <f>'Приложение 1'!H84</f>
        <v xml:space="preserve"> - </v>
      </c>
      <c r="F45" s="233"/>
    </row>
    <row r="46" spans="1:6">
      <c r="A46" s="236"/>
      <c r="B46" s="157"/>
      <c r="C46" s="157"/>
      <c r="D46" s="27" t="s">
        <v>66</v>
      </c>
      <c r="E46" s="28" t="str">
        <f>'Приложение 1'!I84</f>
        <v xml:space="preserve"> - </v>
      </c>
      <c r="F46" s="233"/>
    </row>
    <row r="47" spans="1:6">
      <c r="A47" s="236"/>
      <c r="B47" s="157"/>
      <c r="C47" s="157"/>
      <c r="D47" s="27" t="s">
        <v>67</v>
      </c>
      <c r="E47" s="28" t="str">
        <f>'Приложение 1'!J84</f>
        <v xml:space="preserve"> - </v>
      </c>
      <c r="F47" s="233"/>
    </row>
    <row r="48" spans="1:6">
      <c r="A48" s="236"/>
      <c r="B48" s="157"/>
      <c r="C48" s="157"/>
      <c r="D48" s="29" t="s">
        <v>68</v>
      </c>
      <c r="E48" s="30" t="str">
        <f>'Приложение 1'!K84</f>
        <v xml:space="preserve"> - </v>
      </c>
      <c r="F48" s="233"/>
    </row>
    <row r="49" spans="1:7">
      <c r="A49" s="236"/>
      <c r="B49" s="157" t="s">
        <v>71</v>
      </c>
      <c r="C49" s="157"/>
      <c r="D49" s="25" t="s">
        <v>63</v>
      </c>
      <c r="E49" s="26">
        <f>SUM(E50:E54)</f>
        <v>26.12</v>
      </c>
      <c r="F49" s="233">
        <v>0</v>
      </c>
    </row>
    <row r="50" spans="1:7">
      <c r="A50" s="236"/>
      <c r="B50" s="157"/>
      <c r="C50" s="157"/>
      <c r="D50" s="27" t="s">
        <v>64</v>
      </c>
      <c r="E50" s="28">
        <f>'Приложение 1'!G85</f>
        <v>26.12</v>
      </c>
      <c r="F50" s="233"/>
    </row>
    <row r="51" spans="1:7">
      <c r="A51" s="236"/>
      <c r="B51" s="157"/>
      <c r="C51" s="157"/>
      <c r="D51" s="27" t="s">
        <v>65</v>
      </c>
      <c r="E51" s="28" t="str">
        <f>'Приложение 1'!H85</f>
        <v xml:space="preserve"> - </v>
      </c>
      <c r="F51" s="233"/>
    </row>
    <row r="52" spans="1:7">
      <c r="A52" s="236"/>
      <c r="B52" s="157"/>
      <c r="C52" s="157"/>
      <c r="D52" s="27" t="s">
        <v>66</v>
      </c>
      <c r="E52" s="28" t="str">
        <f>'Приложение 1'!I85</f>
        <v xml:space="preserve"> - </v>
      </c>
      <c r="F52" s="233"/>
    </row>
    <row r="53" spans="1:7">
      <c r="A53" s="236"/>
      <c r="B53" s="157"/>
      <c r="C53" s="157"/>
      <c r="D53" s="27" t="s">
        <v>67</v>
      </c>
      <c r="E53" s="28" t="str">
        <f>'Приложение 1'!J85</f>
        <v xml:space="preserve"> - </v>
      </c>
      <c r="F53" s="233"/>
    </row>
    <row r="54" spans="1:7">
      <c r="A54" s="236"/>
      <c r="B54" s="157"/>
      <c r="C54" s="157"/>
      <c r="D54" s="29" t="s">
        <v>68</v>
      </c>
      <c r="E54" s="30" t="str">
        <f>'Приложение 1'!K85</f>
        <v xml:space="preserve"> - </v>
      </c>
      <c r="F54" s="233"/>
    </row>
    <row r="55" spans="1:7">
      <c r="A55" s="213" t="s">
        <v>343</v>
      </c>
      <c r="B55" s="157" t="s">
        <v>5</v>
      </c>
      <c r="C55" s="213" t="s">
        <v>344</v>
      </c>
      <c r="D55" s="25" t="s">
        <v>63</v>
      </c>
      <c r="E55" s="26">
        <f>SUM(E56:E60)</f>
        <v>599.79649999999992</v>
      </c>
      <c r="F55" s="233">
        <v>0</v>
      </c>
      <c r="G55" s="64"/>
    </row>
    <row r="56" spans="1:7">
      <c r="A56" s="216"/>
      <c r="B56" s="157"/>
      <c r="C56" s="214"/>
      <c r="D56" s="27" t="s">
        <v>64</v>
      </c>
      <c r="E56" s="28">
        <f>'Приложение 1'!G98</f>
        <v>229.39</v>
      </c>
      <c r="F56" s="233"/>
    </row>
    <row r="57" spans="1:7">
      <c r="A57" s="216"/>
      <c r="B57" s="157"/>
      <c r="C57" s="214"/>
      <c r="D57" s="27" t="s">
        <v>65</v>
      </c>
      <c r="E57" s="28">
        <f>'Приложение 1'!H98</f>
        <v>370.40649999999999</v>
      </c>
      <c r="F57" s="233"/>
      <c r="G57" s="64"/>
    </row>
    <row r="58" spans="1:7">
      <c r="A58" s="216"/>
      <c r="B58" s="157"/>
      <c r="C58" s="214"/>
      <c r="D58" s="27" t="s">
        <v>66</v>
      </c>
      <c r="E58" s="28">
        <f>'Приложение 1'!I98</f>
        <v>0</v>
      </c>
      <c r="F58" s="233"/>
    </row>
    <row r="59" spans="1:7">
      <c r="A59" s="216"/>
      <c r="B59" s="157"/>
      <c r="C59" s="214"/>
      <c r="D59" s="27" t="s">
        <v>67</v>
      </c>
      <c r="E59" s="28">
        <f>'Приложение 1'!J98</f>
        <v>0</v>
      </c>
      <c r="F59" s="233"/>
    </row>
    <row r="60" spans="1:7">
      <c r="A60" s="216"/>
      <c r="B60" s="157"/>
      <c r="C60" s="214"/>
      <c r="D60" s="29" t="s">
        <v>68</v>
      </c>
      <c r="E60" s="30">
        <f>'Приложение 1'!K98</f>
        <v>0</v>
      </c>
      <c r="F60" s="233"/>
    </row>
    <row r="61" spans="1:7">
      <c r="A61" s="216"/>
      <c r="B61" s="157" t="s">
        <v>71</v>
      </c>
      <c r="C61" s="214"/>
      <c r="D61" s="25" t="s">
        <v>63</v>
      </c>
      <c r="E61" s="26">
        <f>SUM(E62:E66)</f>
        <v>23624.959599999998</v>
      </c>
      <c r="F61" s="233">
        <v>0</v>
      </c>
    </row>
    <row r="62" spans="1:7">
      <c r="A62" s="216"/>
      <c r="B62" s="157"/>
      <c r="C62" s="214"/>
      <c r="D62" s="27" t="s">
        <v>64</v>
      </c>
      <c r="E62" s="28">
        <f>'Приложение 1'!G99</f>
        <v>3941.99</v>
      </c>
      <c r="F62" s="233"/>
    </row>
    <row r="63" spans="1:7">
      <c r="A63" s="216"/>
      <c r="B63" s="157"/>
      <c r="C63" s="214"/>
      <c r="D63" s="27" t="s">
        <v>65</v>
      </c>
      <c r="E63" s="28">
        <f>'Приложение 1'!H99</f>
        <v>4516.5251799999996</v>
      </c>
      <c r="F63" s="233"/>
    </row>
    <row r="64" spans="1:7">
      <c r="A64" s="216"/>
      <c r="B64" s="157"/>
      <c r="C64" s="214"/>
      <c r="D64" s="27" t="s">
        <v>66</v>
      </c>
      <c r="E64" s="28">
        <f>'Приложение 1'!I99</f>
        <v>5558.0444200000002</v>
      </c>
      <c r="F64" s="233"/>
    </row>
    <row r="65" spans="1:6">
      <c r="A65" s="216"/>
      <c r="B65" s="157"/>
      <c r="C65" s="214"/>
      <c r="D65" s="27" t="s">
        <v>67</v>
      </c>
      <c r="E65" s="28">
        <f>'Приложение 1'!J99</f>
        <v>4804.2000000000007</v>
      </c>
      <c r="F65" s="233"/>
    </row>
    <row r="66" spans="1:6">
      <c r="A66" s="216"/>
      <c r="B66" s="157"/>
      <c r="C66" s="214"/>
      <c r="D66" s="29" t="s">
        <v>68</v>
      </c>
      <c r="E66" s="30">
        <f>'Приложение 1'!K99</f>
        <v>4804.2000000000007</v>
      </c>
      <c r="F66" s="233"/>
    </row>
    <row r="67" spans="1:6">
      <c r="A67" s="214"/>
      <c r="B67" s="157" t="s">
        <v>25</v>
      </c>
      <c r="C67" s="214"/>
      <c r="D67" s="25" t="s">
        <v>63</v>
      </c>
      <c r="E67" s="26">
        <f>SUM(E68:E72)</f>
        <v>439.43209999999999</v>
      </c>
      <c r="F67" s="233">
        <v>0</v>
      </c>
    </row>
    <row r="68" spans="1:6">
      <c r="A68" s="214"/>
      <c r="B68" s="157"/>
      <c r="C68" s="214"/>
      <c r="D68" s="27" t="s">
        <v>64</v>
      </c>
      <c r="E68" s="28">
        <f>'Приложение 1'!G100</f>
        <v>300</v>
      </c>
      <c r="F68" s="233"/>
    </row>
    <row r="69" spans="1:6">
      <c r="A69" s="214"/>
      <c r="B69" s="157"/>
      <c r="C69" s="214"/>
      <c r="D69" s="27" t="s">
        <v>65</v>
      </c>
      <c r="E69" s="28">
        <f>'Приложение 1'!H100</f>
        <v>139.43210000000002</v>
      </c>
      <c r="F69" s="233"/>
    </row>
    <row r="70" spans="1:6">
      <c r="A70" s="214"/>
      <c r="B70" s="157"/>
      <c r="C70" s="214"/>
      <c r="D70" s="27" t="s">
        <v>66</v>
      </c>
      <c r="E70" s="28">
        <f>'Приложение 1'!I100</f>
        <v>0</v>
      </c>
      <c r="F70" s="233"/>
    </row>
    <row r="71" spans="1:6">
      <c r="A71" s="214"/>
      <c r="B71" s="157"/>
      <c r="C71" s="214"/>
      <c r="D71" s="27" t="s">
        <v>67</v>
      </c>
      <c r="E71" s="28">
        <f>'Приложение 1'!J100</f>
        <v>0</v>
      </c>
      <c r="F71" s="233"/>
    </row>
    <row r="72" spans="1:6">
      <c r="A72" s="217"/>
      <c r="B72" s="157"/>
      <c r="C72" s="217"/>
      <c r="D72" s="29" t="s">
        <v>68</v>
      </c>
      <c r="E72" s="30">
        <f>'Приложение 1'!K100</f>
        <v>0</v>
      </c>
      <c r="F72" s="233"/>
    </row>
    <row r="73" spans="1:6">
      <c r="A73" s="157" t="s">
        <v>355</v>
      </c>
      <c r="B73" s="157" t="s">
        <v>5</v>
      </c>
      <c r="C73" s="157" t="s">
        <v>356</v>
      </c>
      <c r="D73" s="25" t="s">
        <v>63</v>
      </c>
      <c r="E73" s="26">
        <f>SUM(E74:E78)</f>
        <v>3914.9075000000003</v>
      </c>
      <c r="F73" s="233">
        <v>0</v>
      </c>
    </row>
    <row r="74" spans="1:6">
      <c r="A74" s="157"/>
      <c r="B74" s="157"/>
      <c r="C74" s="235"/>
      <c r="D74" s="27" t="s">
        <v>64</v>
      </c>
      <c r="E74" s="28">
        <f>'Приложение 1'!G110</f>
        <v>223.75</v>
      </c>
      <c r="F74" s="233"/>
    </row>
    <row r="75" spans="1:6">
      <c r="A75" s="157"/>
      <c r="B75" s="157"/>
      <c r="C75" s="235"/>
      <c r="D75" s="27" t="s">
        <v>65</v>
      </c>
      <c r="E75" s="28">
        <f>'Приложение 1'!H110</f>
        <v>3021.1575000000003</v>
      </c>
      <c r="F75" s="233"/>
    </row>
    <row r="76" spans="1:6">
      <c r="A76" s="157"/>
      <c r="B76" s="157"/>
      <c r="C76" s="235"/>
      <c r="D76" s="27" t="s">
        <v>66</v>
      </c>
      <c r="E76" s="28">
        <f>'Приложение 1'!I110</f>
        <v>670</v>
      </c>
      <c r="F76" s="233"/>
    </row>
    <row r="77" spans="1:6">
      <c r="A77" s="157"/>
      <c r="B77" s="157"/>
      <c r="C77" s="235"/>
      <c r="D77" s="27" t="s">
        <v>67</v>
      </c>
      <c r="E77" s="28">
        <f>'Приложение 1'!J110</f>
        <v>0</v>
      </c>
      <c r="F77" s="233"/>
    </row>
    <row r="78" spans="1:6">
      <c r="A78" s="157"/>
      <c r="B78" s="157"/>
      <c r="C78" s="235"/>
      <c r="D78" s="29" t="s">
        <v>68</v>
      </c>
      <c r="E78" s="30">
        <f>'Приложение 1'!K110</f>
        <v>0</v>
      </c>
      <c r="F78" s="233"/>
    </row>
    <row r="79" spans="1:6">
      <c r="A79" s="157"/>
      <c r="B79" s="157" t="s">
        <v>71</v>
      </c>
      <c r="C79" s="235"/>
      <c r="D79" s="25" t="s">
        <v>63</v>
      </c>
      <c r="E79" s="26">
        <f>SUM(E80:E84)</f>
        <v>140917.26441999999</v>
      </c>
      <c r="F79" s="233">
        <v>0</v>
      </c>
    </row>
    <row r="80" spans="1:6">
      <c r="A80" s="157"/>
      <c r="B80" s="157"/>
      <c r="C80" s="235"/>
      <c r="D80" s="27" t="s">
        <v>64</v>
      </c>
      <c r="E80" s="28">
        <f>'Приложение 1'!G111</f>
        <v>22822.55</v>
      </c>
      <c r="F80" s="233"/>
    </row>
    <row r="81" spans="1:6">
      <c r="A81" s="157"/>
      <c r="B81" s="157"/>
      <c r="C81" s="235"/>
      <c r="D81" s="27" t="s">
        <v>65</v>
      </c>
      <c r="E81" s="28">
        <f>'Приложение 1'!H111</f>
        <v>27560.270030000003</v>
      </c>
      <c r="F81" s="233"/>
    </row>
    <row r="82" spans="1:6">
      <c r="A82" s="157"/>
      <c r="B82" s="157"/>
      <c r="C82" s="235"/>
      <c r="D82" s="27" t="s">
        <v>66</v>
      </c>
      <c r="E82" s="28">
        <f>'Приложение 1'!I111</f>
        <v>31728.044389999999</v>
      </c>
      <c r="F82" s="233"/>
    </row>
    <row r="83" spans="1:6">
      <c r="A83" s="157"/>
      <c r="B83" s="157"/>
      <c r="C83" s="235"/>
      <c r="D83" s="27" t="s">
        <v>67</v>
      </c>
      <c r="E83" s="28">
        <f>'Приложение 1'!J111</f>
        <v>29403.200000000001</v>
      </c>
      <c r="F83" s="233"/>
    </row>
    <row r="84" spans="1:6">
      <c r="A84" s="157"/>
      <c r="B84" s="157"/>
      <c r="C84" s="235"/>
      <c r="D84" s="29" t="s">
        <v>68</v>
      </c>
      <c r="E84" s="30">
        <f>'Приложение 1'!K111</f>
        <v>29403.200000000001</v>
      </c>
      <c r="F84" s="233"/>
    </row>
    <row r="85" spans="1:6">
      <c r="A85" s="157" t="s">
        <v>357</v>
      </c>
      <c r="B85" s="157" t="s">
        <v>5</v>
      </c>
      <c r="C85" s="157" t="s">
        <v>342</v>
      </c>
      <c r="D85" s="25" t="s">
        <v>63</v>
      </c>
      <c r="E85" s="26">
        <f>SUM(E86:E90)</f>
        <v>2954.89</v>
      </c>
      <c r="F85" s="233">
        <v>0</v>
      </c>
    </row>
    <row r="86" spans="1:6">
      <c r="A86" s="157"/>
      <c r="B86" s="157"/>
      <c r="C86" s="235"/>
      <c r="D86" s="27" t="s">
        <v>64</v>
      </c>
      <c r="E86" s="28">
        <f>'Приложение 1'!G122</f>
        <v>912.38999999999987</v>
      </c>
      <c r="F86" s="233"/>
    </row>
    <row r="87" spans="1:6">
      <c r="A87" s="157"/>
      <c r="B87" s="157"/>
      <c r="C87" s="235"/>
      <c r="D87" s="27" t="s">
        <v>65</v>
      </c>
      <c r="E87" s="28">
        <f>'Приложение 1'!H122</f>
        <v>0</v>
      </c>
      <c r="F87" s="233"/>
    </row>
    <row r="88" spans="1:6">
      <c r="A88" s="157"/>
      <c r="B88" s="157"/>
      <c r="C88" s="235"/>
      <c r="D88" s="27" t="s">
        <v>66</v>
      </c>
      <c r="E88" s="28">
        <f>'Приложение 1'!I122</f>
        <v>100</v>
      </c>
      <c r="F88" s="233"/>
    </row>
    <row r="89" spans="1:6">
      <c r="A89" s="157"/>
      <c r="B89" s="157"/>
      <c r="C89" s="235"/>
      <c r="D89" s="27" t="s">
        <v>67</v>
      </c>
      <c r="E89" s="28">
        <f>'Приложение 1'!J122</f>
        <v>0</v>
      </c>
      <c r="F89" s="233"/>
    </row>
    <row r="90" spans="1:6">
      <c r="A90" s="157"/>
      <c r="B90" s="157"/>
      <c r="C90" s="235"/>
      <c r="D90" s="29" t="s">
        <v>68</v>
      </c>
      <c r="E90" s="30">
        <f>'Приложение 1'!K122</f>
        <v>1942.5</v>
      </c>
      <c r="F90" s="233"/>
    </row>
    <row r="91" spans="1:6">
      <c r="A91" s="157"/>
      <c r="B91" s="157" t="s">
        <v>71</v>
      </c>
      <c r="C91" s="235"/>
      <c r="D91" s="25" t="s">
        <v>63</v>
      </c>
      <c r="E91" s="26">
        <f>SUM(E92:E96)</f>
        <v>571229.24334000004</v>
      </c>
      <c r="F91" s="233">
        <v>0</v>
      </c>
    </row>
    <row r="92" spans="1:6">
      <c r="A92" s="157"/>
      <c r="B92" s="157"/>
      <c r="C92" s="235"/>
      <c r="D92" s="27" t="s">
        <v>64</v>
      </c>
      <c r="E92" s="28">
        <f>'Приложение 1'!G123</f>
        <v>107485.72</v>
      </c>
      <c r="F92" s="233"/>
    </row>
    <row r="93" spans="1:6">
      <c r="A93" s="157"/>
      <c r="B93" s="157"/>
      <c r="C93" s="235"/>
      <c r="D93" s="27" t="s">
        <v>65</v>
      </c>
      <c r="E93" s="28">
        <f>'Приложение 1'!H123</f>
        <v>115000.36334000001</v>
      </c>
      <c r="F93" s="233"/>
    </row>
    <row r="94" spans="1:6">
      <c r="A94" s="157"/>
      <c r="B94" s="157"/>
      <c r="C94" s="235"/>
      <c r="D94" s="27" t="s">
        <v>66</v>
      </c>
      <c r="E94" s="28">
        <f>'Приложение 1'!I123</f>
        <v>114618.46</v>
      </c>
      <c r="F94" s="233"/>
    </row>
    <row r="95" spans="1:6">
      <c r="A95" s="157"/>
      <c r="B95" s="157"/>
      <c r="C95" s="235"/>
      <c r="D95" s="27" t="s">
        <v>67</v>
      </c>
      <c r="E95" s="28">
        <f>'Приложение 1'!J123</f>
        <v>116091.1</v>
      </c>
      <c r="F95" s="233"/>
    </row>
    <row r="96" spans="1:6">
      <c r="A96" s="157"/>
      <c r="B96" s="157"/>
      <c r="C96" s="235"/>
      <c r="D96" s="29" t="s">
        <v>68</v>
      </c>
      <c r="E96" s="30">
        <f>'Приложение 1'!K123</f>
        <v>118033.60000000001</v>
      </c>
      <c r="F96" s="233"/>
    </row>
    <row r="97" spans="1:6">
      <c r="A97" s="157"/>
      <c r="B97" s="157" t="s">
        <v>25</v>
      </c>
      <c r="C97" s="234"/>
      <c r="D97" s="25" t="s">
        <v>63</v>
      </c>
      <c r="E97" s="26">
        <f>SUM(E98:E102)</f>
        <v>1982.6</v>
      </c>
      <c r="F97" s="233">
        <v>0</v>
      </c>
    </row>
    <row r="98" spans="1:6">
      <c r="A98" s="157"/>
      <c r="B98" s="157"/>
      <c r="C98" s="234"/>
      <c r="D98" s="27" t="s">
        <v>64</v>
      </c>
      <c r="E98" s="28">
        <f>'Приложение 1'!G124</f>
        <v>982.6</v>
      </c>
      <c r="F98" s="233"/>
    </row>
    <row r="99" spans="1:6">
      <c r="A99" s="157"/>
      <c r="B99" s="157"/>
      <c r="C99" s="234"/>
      <c r="D99" s="27" t="s">
        <v>65</v>
      </c>
      <c r="E99" s="28">
        <f>'Приложение 1'!H124</f>
        <v>0</v>
      </c>
      <c r="F99" s="233"/>
    </row>
    <row r="100" spans="1:6">
      <c r="A100" s="157"/>
      <c r="B100" s="157"/>
      <c r="C100" s="234"/>
      <c r="D100" s="27" t="s">
        <v>66</v>
      </c>
      <c r="E100" s="28">
        <f>'Приложение 1'!I124</f>
        <v>1000</v>
      </c>
      <c r="F100" s="233"/>
    </row>
    <row r="101" spans="1:6">
      <c r="A101" s="157"/>
      <c r="B101" s="157"/>
      <c r="C101" s="234"/>
      <c r="D101" s="27" t="s">
        <v>67</v>
      </c>
      <c r="E101" s="28">
        <f>'Приложение 1'!J124</f>
        <v>0</v>
      </c>
      <c r="F101" s="233"/>
    </row>
    <row r="102" spans="1:6">
      <c r="A102" s="157"/>
      <c r="B102" s="157"/>
      <c r="C102" s="234"/>
      <c r="D102" s="29" t="s">
        <v>68</v>
      </c>
      <c r="E102" s="30">
        <f>'Приложение 1'!K124</f>
        <v>0</v>
      </c>
      <c r="F102" s="233"/>
    </row>
    <row r="103" spans="1:6">
      <c r="A103" s="157" t="s">
        <v>358</v>
      </c>
      <c r="B103" s="157" t="s">
        <v>25</v>
      </c>
      <c r="C103" s="157" t="s">
        <v>114</v>
      </c>
      <c r="D103" s="32" t="s">
        <v>63</v>
      </c>
      <c r="E103" s="26">
        <f>SUM(E104:E108)</f>
        <v>200</v>
      </c>
      <c r="F103" s="233">
        <v>0</v>
      </c>
    </row>
    <row r="104" spans="1:6">
      <c r="A104" s="157"/>
      <c r="B104" s="157"/>
      <c r="C104" s="157"/>
      <c r="D104" s="33" t="s">
        <v>64</v>
      </c>
      <c r="E104" s="28">
        <v>200</v>
      </c>
      <c r="F104" s="233"/>
    </row>
    <row r="105" spans="1:6">
      <c r="A105" s="157"/>
      <c r="B105" s="157"/>
      <c r="C105" s="157"/>
      <c r="D105" s="33" t="s">
        <v>65</v>
      </c>
      <c r="E105" s="28" t="str">
        <f>'Приложение 1'!H183</f>
        <v xml:space="preserve"> - </v>
      </c>
      <c r="F105" s="233"/>
    </row>
    <row r="106" spans="1:6">
      <c r="A106" s="157"/>
      <c r="B106" s="157"/>
      <c r="C106" s="157"/>
      <c r="D106" s="33" t="s">
        <v>66</v>
      </c>
      <c r="E106" s="28" t="str">
        <f>'Приложение 1'!I183</f>
        <v xml:space="preserve"> - </v>
      </c>
      <c r="F106" s="233"/>
    </row>
    <row r="107" spans="1:6">
      <c r="A107" s="157"/>
      <c r="B107" s="157"/>
      <c r="C107" s="157"/>
      <c r="D107" s="33" t="s">
        <v>67</v>
      </c>
      <c r="E107" s="28" t="str">
        <f>'Приложение 1'!J183</f>
        <v xml:space="preserve"> - </v>
      </c>
      <c r="F107" s="233"/>
    </row>
    <row r="108" spans="1:6" ht="23.25" customHeight="1">
      <c r="A108" s="157"/>
      <c r="B108" s="157"/>
      <c r="C108" s="157"/>
      <c r="D108" s="34" t="s">
        <v>68</v>
      </c>
      <c r="E108" s="30" t="str">
        <f>'Приложение 1'!K183</f>
        <v xml:space="preserve"> - </v>
      </c>
      <c r="F108" s="233"/>
    </row>
    <row r="109" spans="1:6">
      <c r="A109" s="157" t="s">
        <v>359</v>
      </c>
      <c r="B109" s="157" t="s">
        <v>5</v>
      </c>
      <c r="C109" s="157" t="s">
        <v>114</v>
      </c>
      <c r="D109" s="32" t="s">
        <v>63</v>
      </c>
      <c r="E109" s="26">
        <f>SUM(E110:E114)</f>
        <v>81703</v>
      </c>
      <c r="F109" s="233">
        <v>0</v>
      </c>
    </row>
    <row r="110" spans="1:6">
      <c r="A110" s="157"/>
      <c r="B110" s="157"/>
      <c r="C110" s="157"/>
      <c r="D110" s="33" t="s">
        <v>64</v>
      </c>
      <c r="E110" s="28">
        <f>'Приложение 1'!G193</f>
        <v>81703</v>
      </c>
      <c r="F110" s="233"/>
    </row>
    <row r="111" spans="1:6">
      <c r="A111" s="157"/>
      <c r="B111" s="157"/>
      <c r="C111" s="157"/>
      <c r="D111" s="33" t="s">
        <v>65</v>
      </c>
      <c r="E111" s="28" t="str">
        <f>'Приложение 1'!H193</f>
        <v xml:space="preserve"> - </v>
      </c>
      <c r="F111" s="233"/>
    </row>
    <row r="112" spans="1:6">
      <c r="A112" s="157"/>
      <c r="B112" s="157"/>
      <c r="C112" s="157"/>
      <c r="D112" s="33" t="s">
        <v>66</v>
      </c>
      <c r="E112" s="28" t="str">
        <f>'Приложение 1'!I193</f>
        <v xml:space="preserve"> - </v>
      </c>
      <c r="F112" s="233"/>
    </row>
    <row r="113" spans="1:6">
      <c r="A113" s="157"/>
      <c r="B113" s="157"/>
      <c r="C113" s="157"/>
      <c r="D113" s="33" t="s">
        <v>67</v>
      </c>
      <c r="E113" s="28" t="str">
        <f>'Приложение 1'!J193</f>
        <v xml:space="preserve"> - </v>
      </c>
      <c r="F113" s="233"/>
    </row>
    <row r="114" spans="1:6">
      <c r="A114" s="157"/>
      <c r="B114" s="157"/>
      <c r="C114" s="157"/>
      <c r="D114" s="34" t="s">
        <v>68</v>
      </c>
      <c r="E114" s="30" t="str">
        <f>'Приложение 1'!K193</f>
        <v xml:space="preserve"> - </v>
      </c>
      <c r="F114" s="233"/>
    </row>
    <row r="115" spans="1:6">
      <c r="A115" s="157"/>
      <c r="B115" s="157" t="s">
        <v>25</v>
      </c>
      <c r="C115" s="157"/>
      <c r="D115" s="31" t="s">
        <v>63</v>
      </c>
      <c r="E115" s="24">
        <f>SUM(E116:E120)</f>
        <v>9079.6</v>
      </c>
      <c r="F115" s="233">
        <v>0</v>
      </c>
    </row>
    <row r="116" spans="1:6">
      <c r="A116" s="157"/>
      <c r="B116" s="157"/>
      <c r="C116" s="157"/>
      <c r="D116" s="22" t="s">
        <v>64</v>
      </c>
      <c r="E116" s="28">
        <f>'Приложение 1'!G195</f>
        <v>9079.6</v>
      </c>
      <c r="F116" s="233"/>
    </row>
    <row r="117" spans="1:6">
      <c r="A117" s="157"/>
      <c r="B117" s="157"/>
      <c r="C117" s="157"/>
      <c r="D117" s="22" t="s">
        <v>65</v>
      </c>
      <c r="E117" s="28" t="str">
        <f>'Приложение 1'!H195</f>
        <v xml:space="preserve"> - </v>
      </c>
      <c r="F117" s="233"/>
    </row>
    <row r="118" spans="1:6">
      <c r="A118" s="157"/>
      <c r="B118" s="157"/>
      <c r="C118" s="157"/>
      <c r="D118" s="22" t="s">
        <v>66</v>
      </c>
      <c r="E118" s="28" t="str">
        <f>'Приложение 1'!I195</f>
        <v xml:space="preserve"> - </v>
      </c>
      <c r="F118" s="233"/>
    </row>
    <row r="119" spans="1:6">
      <c r="A119" s="157"/>
      <c r="B119" s="157"/>
      <c r="C119" s="157"/>
      <c r="D119" s="22" t="s">
        <v>67</v>
      </c>
      <c r="E119" s="28" t="str">
        <f>'Приложение 1'!J195</f>
        <v xml:space="preserve"> - </v>
      </c>
      <c r="F119" s="233"/>
    </row>
    <row r="120" spans="1:6">
      <c r="A120" s="157"/>
      <c r="B120" s="157"/>
      <c r="C120" s="157"/>
      <c r="D120" s="23" t="s">
        <v>68</v>
      </c>
      <c r="E120" s="30" t="str">
        <f>'Приложение 1'!K195</f>
        <v xml:space="preserve"> - </v>
      </c>
      <c r="F120" s="233"/>
    </row>
    <row r="121" spans="1:6">
      <c r="A121" s="20"/>
      <c r="E121" s="9"/>
    </row>
    <row r="122" spans="1:6" ht="18.75">
      <c r="A122" s="19"/>
      <c r="E122" s="9"/>
    </row>
    <row r="123" spans="1:6">
      <c r="E123" s="12">
        <f>E7+E13+E19+E25+E31+E37+E43+E49+E55+E61+E67+E73+E79+E85+E91+E97+E103+E109+E115</f>
        <v>1235717.62152</v>
      </c>
    </row>
    <row r="124" spans="1:6">
      <c r="E124" s="64">
        <f>'Приложение 1'!F205</f>
        <v>1235717.62152</v>
      </c>
    </row>
    <row r="125" spans="1:6">
      <c r="E125" s="64">
        <f>E123-E124</f>
        <v>0</v>
      </c>
    </row>
  </sheetData>
  <mergeCells count="60">
    <mergeCell ref="B79:B84"/>
    <mergeCell ref="F79:F84"/>
    <mergeCell ref="B19:B24"/>
    <mergeCell ref="F19:F24"/>
    <mergeCell ref="F67:F72"/>
    <mergeCell ref="B67:B72"/>
    <mergeCell ref="C55:C72"/>
    <mergeCell ref="B25:B30"/>
    <mergeCell ref="F25:F30"/>
    <mergeCell ref="B31:B36"/>
    <mergeCell ref="F31:F36"/>
    <mergeCell ref="F55:F60"/>
    <mergeCell ref="F61:F66"/>
    <mergeCell ref="F37:F42"/>
    <mergeCell ref="F43:F48"/>
    <mergeCell ref="F49:F54"/>
    <mergeCell ref="A85:A96"/>
    <mergeCell ref="C85:C96"/>
    <mergeCell ref="A37:A42"/>
    <mergeCell ref="B37:B42"/>
    <mergeCell ref="B55:B60"/>
    <mergeCell ref="B61:B66"/>
    <mergeCell ref="A43:A54"/>
    <mergeCell ref="B43:B48"/>
    <mergeCell ref="C43:C54"/>
    <mergeCell ref="B49:B54"/>
    <mergeCell ref="A55:A72"/>
    <mergeCell ref="A73:A84"/>
    <mergeCell ref="B73:B78"/>
    <mergeCell ref="C73:C84"/>
    <mergeCell ref="F73:F78"/>
    <mergeCell ref="A13:A36"/>
    <mergeCell ref="B13:B18"/>
    <mergeCell ref="C13:C36"/>
    <mergeCell ref="F13:F18"/>
    <mergeCell ref="A109:A120"/>
    <mergeCell ref="B109:B114"/>
    <mergeCell ref="C109:C120"/>
    <mergeCell ref="B97:B102"/>
    <mergeCell ref="F109:F114"/>
    <mergeCell ref="B115:B120"/>
    <mergeCell ref="F115:F120"/>
    <mergeCell ref="A103:A108"/>
    <mergeCell ref="B103:B108"/>
    <mergeCell ref="C103:C108"/>
    <mergeCell ref="A97:A102"/>
    <mergeCell ref="C97:C102"/>
    <mergeCell ref="F103:F108"/>
    <mergeCell ref="B85:B90"/>
    <mergeCell ref="F85:F90"/>
    <mergeCell ref="B91:B96"/>
    <mergeCell ref="F91:F96"/>
    <mergeCell ref="F97:F102"/>
    <mergeCell ref="A1:F1"/>
    <mergeCell ref="A3:F3"/>
    <mergeCell ref="A4:F4"/>
    <mergeCell ref="D6:E6"/>
    <mergeCell ref="A7:A12"/>
    <mergeCell ref="B7:B12"/>
    <mergeCell ref="F7:F12"/>
  </mergeCells>
  <phoneticPr fontId="5" type="noConversion"/>
  <pageMargins left="0.70866141732283472" right="0.70866141732283472" top="0.55118110236220474" bottom="0.35433070866141736" header="3.937007874015748E-2" footer="3.937007874015748E-2"/>
  <pageSetup paperSize="9" scale="69" orientation="landscape" verticalDpi="0" r:id="rId1"/>
  <rowBreaks count="2" manualBreakCount="2">
    <brk id="42" max="5" man="1"/>
    <brk id="8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9</vt:i4>
      </vt:variant>
    </vt:vector>
  </HeadingPairs>
  <TitlesOfParts>
    <vt:vector size="14" baseType="lpstr">
      <vt:lpstr>Паспорт</vt:lpstr>
      <vt:lpstr>Приложение 1</vt:lpstr>
      <vt:lpstr>Приложение 2</vt:lpstr>
      <vt:lpstr>Приложение 3</vt:lpstr>
      <vt:lpstr>Приложение 4</vt:lpstr>
      <vt:lpstr>'Приложение 1'!OLE_LINK1</vt:lpstr>
      <vt:lpstr>'Приложение 1'!Заголовки_для_печати</vt:lpstr>
      <vt:lpstr>'Приложение 2'!Заголовки_для_печати</vt:lpstr>
      <vt:lpstr>'Приложение 3'!Заголовки_для_печати</vt:lpstr>
      <vt:lpstr>'Приложение 4'!Заголовки_для_печати</vt:lpstr>
      <vt:lpstr>'Приложение 1'!Область_печати</vt:lpstr>
      <vt:lpstr>'Приложение 2'!Область_печати</vt:lpstr>
      <vt:lpstr>'Приложение 3'!Область_печати</vt:lpstr>
      <vt:lpstr>'Приложение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ДятловаЕС</cp:lastModifiedBy>
  <cp:lastPrinted>2019-09-04T09:07:34Z</cp:lastPrinted>
  <dcterms:created xsi:type="dcterms:W3CDTF">2017-10-12T14:36:27Z</dcterms:created>
  <dcterms:modified xsi:type="dcterms:W3CDTF">2019-09-12T13:36:28Z</dcterms:modified>
  <dc:description>exif_MSED_5ac363ab1e4712e3917c41ea5e97ec8a023cca913f64dd61d39b2e5dca6fbb13</dc:description>
</cp:coreProperties>
</file>